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X:\令和6年度\1_国保資格係\試算表\率確定前\R7\"/>
    </mc:Choice>
  </mc:AlternateContent>
  <xr:revisionPtr revIDLastSave="0" documentId="13_ncr:1_{8B0EFCE2-FDB0-4151-9F24-60864FB122A4}" xr6:coauthVersionLast="47" xr6:coauthVersionMax="47" xr10:uidLastSave="{00000000-0000-0000-0000-000000000000}"/>
  <bookViews>
    <workbookView xWindow="780" yWindow="780" windowWidth="16890" windowHeight="9735" xr2:uid="{00000000-000D-0000-FFFF-FFFF00000000}"/>
  </bookViews>
  <sheets>
    <sheet name="試算表" sheetId="1" r:id="rId1"/>
    <sheet name="編集用データ倉庫" sheetId="3" state="hidden" r:id="rId2"/>
    <sheet name="Sheet1" sheetId="4" state="hidden" r:id="rId3"/>
  </sheets>
  <definedNames>
    <definedName name="_xlnm.Print_Area" localSheetId="0">試算表!$A$10:$AA$34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60" i="1" l="1"/>
  <c r="AF60" i="1" s="1"/>
  <c r="AD60" i="1"/>
  <c r="AE59" i="1"/>
  <c r="AF59" i="1" s="1"/>
  <c r="AD59" i="1"/>
  <c r="AE58" i="1"/>
  <c r="AF58" i="1" s="1"/>
  <c r="AD58" i="1"/>
  <c r="AD57" i="1"/>
  <c r="AE57" i="1" s="1"/>
  <c r="AF57" i="1" s="1"/>
  <c r="AD56" i="1"/>
  <c r="AE56" i="1" s="1"/>
  <c r="AF56" i="1" s="1"/>
  <c r="AD55" i="1"/>
  <c r="AE55" i="1" s="1"/>
  <c r="AD54" i="1"/>
  <c r="AE54" i="1" s="1"/>
  <c r="AL48" i="1"/>
  <c r="AK48" i="1"/>
  <c r="AJ48" i="1"/>
  <c r="AI48" i="1"/>
  <c r="AH48" i="1"/>
  <c r="AG48" i="1"/>
  <c r="AF48" i="1"/>
  <c r="AL47" i="1"/>
  <c r="AK47" i="1"/>
  <c r="AJ47" i="1"/>
  <c r="AI47" i="1"/>
  <c r="AH47" i="1"/>
  <c r="AG47" i="1"/>
  <c r="AF47" i="1"/>
  <c r="AL46" i="1"/>
  <c r="AK46" i="1"/>
  <c r="AJ46" i="1"/>
  <c r="AI46" i="1"/>
  <c r="AH46" i="1"/>
  <c r="AG46" i="1"/>
  <c r="AF46" i="1"/>
  <c r="AL45" i="1"/>
  <c r="AK45" i="1"/>
  <c r="AJ45" i="1"/>
  <c r="AI45" i="1"/>
  <c r="AH45" i="1"/>
  <c r="AG45" i="1"/>
  <c r="AG37" i="1" s="1"/>
  <c r="AQ46" i="1" s="1"/>
  <c r="AF45" i="1"/>
  <c r="AL44" i="1"/>
  <c r="AK44" i="1"/>
  <c r="AJ44" i="1"/>
  <c r="AI44" i="1"/>
  <c r="AH44" i="1"/>
  <c r="AG44" i="1"/>
  <c r="AF44" i="1"/>
  <c r="AP40" i="1"/>
  <c r="AV39" i="1"/>
  <c r="AU39" i="1"/>
  <c r="AT39" i="1"/>
  <c r="AS39" i="1"/>
  <c r="AR39" i="1"/>
  <c r="AQ39" i="1"/>
  <c r="AP39" i="1"/>
  <c r="AP38" i="1" s="1"/>
  <c r="AL39" i="1"/>
  <c r="AK39" i="1"/>
  <c r="AJ39" i="1"/>
  <c r="AI39" i="1"/>
  <c r="AH39" i="1"/>
  <c r="AG39" i="1"/>
  <c r="AF39" i="1"/>
  <c r="AV38" i="1"/>
  <c r="AU38" i="1"/>
  <c r="AT38" i="1"/>
  <c r="AS38" i="1"/>
  <c r="AR38" i="1"/>
  <c r="AQ38" i="1"/>
  <c r="AL37" i="1"/>
  <c r="AV46" i="1" s="1"/>
  <c r="AK37" i="1"/>
  <c r="AJ25" i="1" s="1"/>
  <c r="AJ37" i="1"/>
  <c r="AT46" i="1" s="1"/>
  <c r="AI37" i="1"/>
  <c r="AS46" i="1" s="1"/>
  <c r="AH30" i="1"/>
  <c r="AH28" i="1"/>
  <c r="AG28" i="1"/>
  <c r="AW29" i="1" s="1"/>
  <c r="AD28" i="1"/>
  <c r="AH27" i="1"/>
  <c r="AH25" i="1"/>
  <c r="AG25" i="1"/>
  <c r="AW27" i="1" s="1"/>
  <c r="AD25" i="1"/>
  <c r="AH24" i="1"/>
  <c r="AH22" i="1"/>
  <c r="AG22" i="1"/>
  <c r="AW24" i="1" s="1"/>
  <c r="AD22" i="1"/>
  <c r="BD19" i="1"/>
  <c r="AD19" i="1"/>
  <c r="AH19" i="1" s="1"/>
  <c r="Q19" i="1"/>
  <c r="O19" i="1"/>
  <c r="N19" i="1"/>
  <c r="L19" i="1"/>
  <c r="BD18" i="1"/>
  <c r="Q18" i="1"/>
  <c r="O18" i="1"/>
  <c r="N18" i="1"/>
  <c r="L18" i="1"/>
  <c r="BD17" i="1"/>
  <c r="Q17" i="1"/>
  <c r="O17" i="1"/>
  <c r="N17" i="1"/>
  <c r="L17" i="1"/>
  <c r="AD16" i="1"/>
  <c r="BM14" i="1"/>
  <c r="AD13" i="1"/>
  <c r="BM11" i="1"/>
  <c r="BF10" i="1"/>
  <c r="BA10" i="1"/>
  <c r="AD10" i="1"/>
  <c r="AE6" i="1"/>
  <c r="B25" i="1" s="1"/>
  <c r="AC6" i="1"/>
  <c r="AH15" i="1" l="1"/>
  <c r="AH37" i="1"/>
  <c r="AR46" i="1" s="1"/>
  <c r="AF25" i="1"/>
  <c r="AI25" i="1" s="1"/>
  <c r="AH18" i="1"/>
  <c r="M18" i="1"/>
  <c r="M19" i="1"/>
  <c r="M17" i="1"/>
  <c r="AH21" i="1"/>
  <c r="M16" i="1" s="1"/>
  <c r="AW30" i="1"/>
  <c r="AW22" i="1"/>
  <c r="AW23" i="1"/>
  <c r="AF10" i="1"/>
  <c r="AG10" i="1" s="1"/>
  <c r="AW25" i="1"/>
  <c r="AF19" i="1"/>
  <c r="AF28" i="1"/>
  <c r="AI28" i="1" s="1"/>
  <c r="AF22" i="1"/>
  <c r="AI22" i="1" s="1"/>
  <c r="AF16" i="1"/>
  <c r="AI16" i="1" s="1"/>
  <c r="AW26" i="1"/>
  <c r="AW28" i="1"/>
  <c r="AF37" i="1"/>
  <c r="AJ10" i="1" s="1"/>
  <c r="AH16" i="1"/>
  <c r="AQ13" i="1"/>
  <c r="AJ55" i="1" s="1"/>
  <c r="AI55" i="1" s="1"/>
  <c r="AJ19" i="1"/>
  <c r="AJ13" i="1"/>
  <c r="AJ22" i="1"/>
  <c r="AQ22" i="1"/>
  <c r="AJ58" i="1" s="1"/>
  <c r="AH58" i="1" s="1"/>
  <c r="AG58" i="1" s="1"/>
  <c r="AH13" i="1"/>
  <c r="AF13" i="1"/>
  <c r="AI13" i="1" s="1"/>
  <c r="AF55" i="1"/>
  <c r="AF54" i="1"/>
  <c r="AH10" i="1"/>
  <c r="AH12" i="1"/>
  <c r="AU46" i="1"/>
  <c r="AJ28" i="1"/>
  <c r="AQ25" i="1"/>
  <c r="AJ59" i="1" s="1"/>
  <c r="AQ28" i="1"/>
  <c r="AJ60" i="1" s="1"/>
  <c r="AQ19" i="1"/>
  <c r="AJ57" i="1" s="1"/>
  <c r="AX28" i="1" l="1"/>
  <c r="M14" i="1"/>
  <c r="AJ16" i="1"/>
  <c r="AQ16" i="1"/>
  <c r="AJ56" i="1" s="1"/>
  <c r="AI56" i="1" s="1"/>
  <c r="M15" i="1"/>
  <c r="AX22" i="1"/>
  <c r="AI19" i="1"/>
  <c r="AG19" i="1"/>
  <c r="AG16" i="1"/>
  <c r="AW16" i="1" s="1"/>
  <c r="AP46" i="1"/>
  <c r="AQ10" i="1"/>
  <c r="AJ54" i="1" s="1"/>
  <c r="AI54" i="1" s="1"/>
  <c r="AX25" i="1"/>
  <c r="AI10" i="1"/>
  <c r="AW10" i="1" s="1"/>
  <c r="AH55" i="1"/>
  <c r="AG55" i="1" s="1"/>
  <c r="AQ47" i="1" s="1"/>
  <c r="AQ48" i="1" s="1"/>
  <c r="AQ45" i="1" s="1"/>
  <c r="AG36" i="1" s="1"/>
  <c r="M13" i="1"/>
  <c r="AI58" i="1"/>
  <c r="AG13" i="1"/>
  <c r="AW15" i="1" s="1"/>
  <c r="AJ6" i="1"/>
  <c r="AJ7" i="1" s="1"/>
  <c r="AW12" i="1"/>
  <c r="Q13" i="1"/>
  <c r="AI57" i="1"/>
  <c r="AH57" i="1"/>
  <c r="AG57" i="1" s="1"/>
  <c r="AI60" i="1"/>
  <c r="AH60" i="1"/>
  <c r="AG60" i="1" s="1"/>
  <c r="AT47" i="1"/>
  <c r="AT48" i="1" s="1"/>
  <c r="AT45" i="1" s="1"/>
  <c r="AJ36" i="1" s="1"/>
  <c r="AL22" i="1"/>
  <c r="AI59" i="1"/>
  <c r="AH59" i="1"/>
  <c r="AG59" i="1" s="1"/>
  <c r="AH56" i="1" l="1"/>
  <c r="AG56" i="1" s="1"/>
  <c r="AR47" i="1" s="1"/>
  <c r="AR48" i="1" s="1"/>
  <c r="AR45" i="1" s="1"/>
  <c r="AH36" i="1" s="1"/>
  <c r="AK16" i="1" s="1"/>
  <c r="AW19" i="1"/>
  <c r="Q16" i="1"/>
  <c r="O16" i="1" s="1"/>
  <c r="AW20" i="1"/>
  <c r="AW21" i="1"/>
  <c r="AQ6" i="1"/>
  <c r="AL6" i="1" s="1"/>
  <c r="AL7" i="1" s="1"/>
  <c r="Q15" i="1"/>
  <c r="O15" i="1" s="1"/>
  <c r="AW18" i="1"/>
  <c r="AW17" i="1"/>
  <c r="AH54" i="1"/>
  <c r="AG54" i="1" s="1"/>
  <c r="AL10" i="1" s="1"/>
  <c r="AW11" i="1"/>
  <c r="AX10" i="1" s="1"/>
  <c r="AL13" i="1"/>
  <c r="AN13" i="1" s="1"/>
  <c r="Q14" i="1"/>
  <c r="O14" i="1" s="1"/>
  <c r="AW14" i="1"/>
  <c r="AW13" i="1"/>
  <c r="AK13" i="1"/>
  <c r="O13" i="1"/>
  <c r="AN22" i="1"/>
  <c r="AK22" i="1"/>
  <c r="AM22" i="1" s="1"/>
  <c r="AU47" i="1"/>
  <c r="AU48" i="1" s="1"/>
  <c r="AU45" i="1" s="1"/>
  <c r="AK36" i="1" s="1"/>
  <c r="AL25" i="1"/>
  <c r="AL19" i="1"/>
  <c r="AS47" i="1"/>
  <c r="AS48" i="1" s="1"/>
  <c r="AS45" i="1" s="1"/>
  <c r="AI36" i="1" s="1"/>
  <c r="AL28" i="1"/>
  <c r="AV47" i="1"/>
  <c r="AV48" i="1" s="1"/>
  <c r="AV45" i="1" s="1"/>
  <c r="AL36" i="1" s="1"/>
  <c r="AL16" i="1" l="1"/>
  <c r="AN16" i="1" s="1"/>
  <c r="AU16" i="1" s="1"/>
  <c r="P13" i="1"/>
  <c r="AX19" i="1"/>
  <c r="AX16" i="1"/>
  <c r="AK6" i="1"/>
  <c r="AK7" i="1" s="1"/>
  <c r="AM7" i="1" s="1"/>
  <c r="AP47" i="1"/>
  <c r="AP48" i="1" s="1"/>
  <c r="AP45" i="1" s="1"/>
  <c r="AF36" i="1" s="1"/>
  <c r="AN10" i="1" s="1"/>
  <c r="AU10" i="1" s="1"/>
  <c r="AM13" i="1"/>
  <c r="AS14" i="1" s="1"/>
  <c r="AX13" i="1"/>
  <c r="AP13" i="1"/>
  <c r="AU14" i="1"/>
  <c r="AU13" i="1"/>
  <c r="AU15" i="1"/>
  <c r="AK25" i="1"/>
  <c r="AM25" i="1" s="1"/>
  <c r="AN25" i="1"/>
  <c r="AK19" i="1"/>
  <c r="AM19" i="1" s="1"/>
  <c r="L16" i="1" s="1"/>
  <c r="AN19" i="1"/>
  <c r="AS24" i="1"/>
  <c r="AO22" i="1"/>
  <c r="AS23" i="1"/>
  <c r="AS22" i="1"/>
  <c r="AP22" i="1"/>
  <c r="AU22" i="1"/>
  <c r="AU23" i="1"/>
  <c r="AU24" i="1"/>
  <c r="AN28" i="1"/>
  <c r="AK28" i="1"/>
  <c r="AM28" i="1" s="1"/>
  <c r="AM16" i="1" l="1"/>
  <c r="L15" i="1" s="1"/>
  <c r="AU17" i="1"/>
  <c r="AP16" i="1"/>
  <c r="AU18" i="1"/>
  <c r="AM6" i="1"/>
  <c r="L14" i="1"/>
  <c r="AP10" i="1"/>
  <c r="AU12" i="1"/>
  <c r="AU11" i="1"/>
  <c r="AK10" i="1"/>
  <c r="AM10" i="1" s="1"/>
  <c r="AS10" i="1" s="1"/>
  <c r="AS15" i="1"/>
  <c r="AS13" i="1"/>
  <c r="AO13" i="1"/>
  <c r="AV22" i="1"/>
  <c r="AV13" i="1"/>
  <c r="AU25" i="1"/>
  <c r="AU26" i="1"/>
  <c r="AU27" i="1"/>
  <c r="AP25" i="1"/>
  <c r="AS26" i="1"/>
  <c r="AS25" i="1"/>
  <c r="AS27" i="1"/>
  <c r="AO25" i="1"/>
  <c r="AT22" i="1"/>
  <c r="AO28" i="1"/>
  <c r="AS30" i="1"/>
  <c r="AS29" i="1"/>
  <c r="AS28" i="1"/>
  <c r="AU30" i="1"/>
  <c r="AU28" i="1"/>
  <c r="AU29" i="1"/>
  <c r="AP28" i="1"/>
  <c r="AU19" i="1"/>
  <c r="AU20" i="1"/>
  <c r="AP19" i="1"/>
  <c r="AU21" i="1"/>
  <c r="AS19" i="1"/>
  <c r="AS20" i="1"/>
  <c r="AS21" i="1"/>
  <c r="AO19" i="1"/>
  <c r="AS17" i="1" l="1"/>
  <c r="AS18" i="1"/>
  <c r="AO16" i="1"/>
  <c r="AS16" i="1"/>
  <c r="BA28" i="1" s="1"/>
  <c r="BF11" i="1" s="1"/>
  <c r="BG11" i="1" s="1"/>
  <c r="AV16" i="1"/>
  <c r="L13" i="1"/>
  <c r="AV10" i="1"/>
  <c r="AS12" i="1"/>
  <c r="AO10" i="1"/>
  <c r="AS11" i="1"/>
  <c r="AT13" i="1"/>
  <c r="N14" i="1" s="1"/>
  <c r="BA25" i="1"/>
  <c r="BA13" i="1" s="1"/>
  <c r="BB13" i="1" s="1"/>
  <c r="AT28" i="1"/>
  <c r="BA24" i="1"/>
  <c r="BA12" i="1" s="1"/>
  <c r="BB12" i="1" s="1"/>
  <c r="AO31" i="1"/>
  <c r="AT25" i="1"/>
  <c r="AV19" i="1"/>
  <c r="AV28" i="1"/>
  <c r="BA23" i="1"/>
  <c r="BA11" i="1" s="1"/>
  <c r="AT19" i="1"/>
  <c r="N16" i="1" s="1"/>
  <c r="AV25" i="1"/>
  <c r="BA29" i="1" l="1"/>
  <c r="BF12" i="1" s="1"/>
  <c r="BG12" i="1" s="1"/>
  <c r="BA30" i="1"/>
  <c r="BF13" i="1" s="1"/>
  <c r="BH13" i="1" s="1"/>
  <c r="AN31" i="1"/>
  <c r="AT16" i="1"/>
  <c r="N15" i="1" s="1"/>
  <c r="AT10" i="1"/>
  <c r="N13" i="1" s="1"/>
  <c r="BH11" i="1"/>
  <c r="BC13" i="1"/>
  <c r="BC12" i="1"/>
  <c r="BC11" i="1"/>
  <c r="BB11" i="1"/>
  <c r="BB14" i="1" s="1"/>
  <c r="BA14" i="1"/>
  <c r="BH12" i="1" l="1"/>
  <c r="BH14" i="1" s="1"/>
  <c r="BG13" i="1"/>
  <c r="BG14" i="1" s="1"/>
  <c r="BF14" i="1"/>
  <c r="BC14" i="1"/>
  <c r="BM23" i="1"/>
  <c r="BB15" i="1"/>
  <c r="K25" i="1" s="1"/>
  <c r="BM16" i="1" l="1"/>
  <c r="H27" i="1" s="1"/>
  <c r="BO18" i="1"/>
  <c r="BM18" i="1"/>
  <c r="BP25" i="1"/>
  <c r="BO22" i="1"/>
  <c r="BM22" i="1" s="1"/>
  <c r="H25" i="1" l="1"/>
  <c r="F25" i="1"/>
  <c r="BM20" i="1"/>
  <c r="F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国保年金課 資格係10 TC12XH</author>
    <author>FCCUSER</author>
    <author>国保年金課 資格係02 TC11X2</author>
  </authors>
  <commentList>
    <comment ref="AH6" authorId="0" shapeId="0" xr:uid="{00000000-0006-0000-0000-000001000000}">
      <text>
        <r>
          <rPr>
            <b/>
            <sz val="16"/>
            <color indexed="81"/>
            <rFont val="ＭＳ Ｐゴシック"/>
            <family val="3"/>
            <charset val="128"/>
          </rPr>
          <t>毎年更新する</t>
        </r>
      </text>
    </comment>
    <comment ref="AP6" authorId="0" shapeId="0" xr:uid="{00000000-0006-0000-0000-000002000000}">
      <text>
        <r>
          <rPr>
            <b/>
            <sz val="16"/>
            <color indexed="81"/>
            <rFont val="ＭＳ Ｐゴシック"/>
            <family val="3"/>
            <charset val="128"/>
          </rPr>
          <t>毎年更新する</t>
        </r>
      </text>
    </comment>
    <comment ref="AS9" authorId="1" shapeId="0" xr:uid="{00000000-0006-0000-0000-000003000000}">
      <text>
        <r>
          <rPr>
            <b/>
            <sz val="9"/>
            <color indexed="81"/>
            <rFont val="ＭＳ Ｐゴシック"/>
            <family val="3"/>
            <charset val="128"/>
          </rPr>
          <t>非自発軽減該当の場合。</t>
        </r>
      </text>
    </comment>
    <comment ref="AU9" authorId="1" shapeId="0" xr:uid="{00000000-0006-0000-0000-000004000000}">
      <text>
        <r>
          <rPr>
            <b/>
            <sz val="9"/>
            <color indexed="81"/>
            <rFont val="ＭＳ Ｐゴシック"/>
            <family val="3"/>
            <charset val="128"/>
          </rPr>
          <t>非自発軽減該当しない場合。</t>
        </r>
      </text>
    </comment>
    <comment ref="AF10" authorId="1" shapeId="0" xr:uid="{00000000-0006-0000-0000-000005000000}">
      <text>
        <r>
          <rPr>
            <b/>
            <sz val="9"/>
            <color indexed="81"/>
            <rFont val="ＭＳ Ｐゴシック"/>
            <family val="3"/>
            <charset val="128"/>
          </rPr>
          <t>和暦→年齢へ換算</t>
        </r>
      </text>
    </comment>
    <comment ref="AG10" authorId="1" shapeId="0" xr:uid="{00000000-0006-0000-0000-000006000000}">
      <text>
        <r>
          <rPr>
            <b/>
            <sz val="9"/>
            <color indexed="81"/>
            <rFont val="ＭＳ Ｐゴシック"/>
            <family val="3"/>
            <charset val="128"/>
          </rPr>
          <t>年齢値を計算可能な数値に変換</t>
        </r>
      </text>
    </comment>
    <comment ref="BG16" authorId="2" shapeId="0" xr:uid="{4C902FD7-71D1-4764-ACB4-98EA8834CD86}">
      <text>
        <r>
          <rPr>
            <b/>
            <sz val="18"/>
            <color indexed="81"/>
            <rFont val="MS P ゴシック"/>
            <family val="3"/>
            <charset val="128"/>
          </rPr>
          <t>毎年更新する</t>
        </r>
      </text>
    </comment>
    <comment ref="BD17" authorId="2" shapeId="0" xr:uid="{82AFAA52-C09F-478E-96F6-665D659D9DA7}">
      <text>
        <r>
          <rPr>
            <b/>
            <sz val="18"/>
            <color indexed="81"/>
            <rFont val="MS P ゴシック"/>
            <family val="3"/>
            <charset val="128"/>
          </rPr>
          <t>毎年更新する</t>
        </r>
      </text>
    </comment>
    <comment ref="AF63" authorId="0" shapeId="0" xr:uid="{00000000-0006-0000-0000-000007000000}">
      <text>
        <r>
          <rPr>
            <b/>
            <sz val="20"/>
            <color indexed="81"/>
            <rFont val="ＭＳ Ｐゴシック"/>
            <family val="3"/>
            <charset val="128"/>
          </rPr>
          <t>毎年更新する</t>
        </r>
      </text>
    </comment>
  </commentList>
</comments>
</file>

<file path=xl/sharedStrings.xml><?xml version="1.0" encoding="utf-8"?>
<sst xmlns="http://schemas.openxmlformats.org/spreadsheetml/2006/main" count="207" uniqueCount="166">
  <si>
    <t>所得割</t>
    <rPh sb="0" eb="2">
      <t>ショトク</t>
    </rPh>
    <rPh sb="2" eb="3">
      <t>ワリ</t>
    </rPh>
    <phoneticPr fontId="1"/>
  </si>
  <si>
    <t>均等割</t>
    <rPh sb="0" eb="3">
      <t>キントウワリ</t>
    </rPh>
    <phoneticPr fontId="1"/>
  </si>
  <si>
    <t>平等割</t>
    <rPh sb="0" eb="2">
      <t>ビョウドウ</t>
    </rPh>
    <rPh sb="2" eb="3">
      <t>ワリ</t>
    </rPh>
    <phoneticPr fontId="1"/>
  </si>
  <si>
    <t>年金所得</t>
    <rPh sb="0" eb="2">
      <t>ネンキン</t>
    </rPh>
    <rPh sb="2" eb="4">
      <t>ショトク</t>
    </rPh>
    <phoneticPr fontId="1"/>
  </si>
  <si>
    <t>パラメータ</t>
    <phoneticPr fontId="2"/>
  </si>
  <si>
    <t>年金所得</t>
  </si>
  <si>
    <t>年金所得算出パラメータ</t>
    <phoneticPr fontId="2"/>
  </si>
  <si>
    <t>税率</t>
    <rPh sb="0" eb="2">
      <t>ゼイリツ</t>
    </rPh>
    <phoneticPr fontId="2"/>
  </si>
  <si>
    <t>所得割</t>
    <rPh sb="0" eb="2">
      <t>ショトク</t>
    </rPh>
    <rPh sb="2" eb="3">
      <t>ワリ</t>
    </rPh>
    <phoneticPr fontId="2"/>
  </si>
  <si>
    <t>均等割</t>
    <rPh sb="0" eb="3">
      <t>キントウワ</t>
    </rPh>
    <phoneticPr fontId="2"/>
  </si>
  <si>
    <t>平等割</t>
    <rPh sb="0" eb="2">
      <t>ビョウドウ</t>
    </rPh>
    <rPh sb="2" eb="3">
      <t>ワリ</t>
    </rPh>
    <phoneticPr fontId="2"/>
  </si>
  <si>
    <t>医療分</t>
    <rPh sb="0" eb="2">
      <t>イリョウ</t>
    </rPh>
    <rPh sb="2" eb="3">
      <t>ブン</t>
    </rPh>
    <phoneticPr fontId="2"/>
  </si>
  <si>
    <t>支援分</t>
    <rPh sb="0" eb="2">
      <t>シエン</t>
    </rPh>
    <phoneticPr fontId="2"/>
  </si>
  <si>
    <t>介護分</t>
    <rPh sb="0" eb="2">
      <t>カイゴ</t>
    </rPh>
    <phoneticPr fontId="2"/>
  </si>
  <si>
    <t>医療分</t>
    <rPh sb="0" eb="2">
      <t>イリョウ</t>
    </rPh>
    <rPh sb="2" eb="3">
      <t>ブン</t>
    </rPh>
    <phoneticPr fontId="1"/>
  </si>
  <si>
    <t>支援分</t>
    <rPh sb="0" eb="2">
      <t>シエン</t>
    </rPh>
    <rPh sb="2" eb="3">
      <t>ブン</t>
    </rPh>
    <phoneticPr fontId="1"/>
  </si>
  <si>
    <t>介護分</t>
    <rPh sb="0" eb="2">
      <t>カイゴ</t>
    </rPh>
    <rPh sb="2" eb="3">
      <t>ブン</t>
    </rPh>
    <phoneticPr fontId="1"/>
  </si>
  <si>
    <t>医療分小計</t>
    <rPh sb="0" eb="2">
      <t>イリョウ</t>
    </rPh>
    <rPh sb="2" eb="3">
      <t>ブン</t>
    </rPh>
    <rPh sb="3" eb="5">
      <t>ショウケイ</t>
    </rPh>
    <phoneticPr fontId="1"/>
  </si>
  <si>
    <t>支援分小計</t>
    <rPh sb="0" eb="2">
      <t>シエン</t>
    </rPh>
    <rPh sb="2" eb="3">
      <t>ブン</t>
    </rPh>
    <rPh sb="3" eb="5">
      <t>ショウケイ</t>
    </rPh>
    <phoneticPr fontId="1"/>
  </si>
  <si>
    <t>介護分小計</t>
    <rPh sb="0" eb="2">
      <t>カイゴ</t>
    </rPh>
    <rPh sb="2" eb="3">
      <t>ブン</t>
    </rPh>
    <rPh sb="3" eb="5">
      <t>ショウケイ</t>
    </rPh>
    <phoneticPr fontId="1"/>
  </si>
  <si>
    <t>※下記の点に注意して黄色の部分を入力してください。</t>
    <rPh sb="1" eb="3">
      <t>カキ</t>
    </rPh>
    <rPh sb="4" eb="5">
      <t>テン</t>
    </rPh>
    <rPh sb="6" eb="8">
      <t>チュウイ</t>
    </rPh>
    <rPh sb="10" eb="12">
      <t>キイロ</t>
    </rPh>
    <rPh sb="13" eb="15">
      <t>ブブン</t>
    </rPh>
    <rPh sb="16" eb="18">
      <t>ニュウリョク</t>
    </rPh>
    <phoneticPr fontId="1"/>
  </si>
  <si>
    <t>介護</t>
    <rPh sb="0" eb="2">
      <t>カイゴ</t>
    </rPh>
    <phoneticPr fontId="1"/>
  </si>
  <si>
    <t>国保加入者数</t>
    <rPh sb="0" eb="2">
      <t>コクホ</t>
    </rPh>
    <rPh sb="2" eb="5">
      <t>カニュウシャ</t>
    </rPh>
    <rPh sb="5" eb="6">
      <t>スウ</t>
    </rPh>
    <phoneticPr fontId="2"/>
  </si>
  <si>
    <t>医療分年税額</t>
    <rPh sb="0" eb="2">
      <t>イリョウ</t>
    </rPh>
    <rPh sb="2" eb="3">
      <t>ブン</t>
    </rPh>
    <rPh sb="3" eb="6">
      <t>ネンゼイガク</t>
    </rPh>
    <phoneticPr fontId="2"/>
  </si>
  <si>
    <t>支援分年税額</t>
    <rPh sb="0" eb="2">
      <t>シエン</t>
    </rPh>
    <rPh sb="2" eb="3">
      <t>ブン</t>
    </rPh>
    <rPh sb="3" eb="6">
      <t>ネンゼイガク</t>
    </rPh>
    <phoneticPr fontId="2"/>
  </si>
  <si>
    <t>介護分年税額</t>
    <rPh sb="0" eb="2">
      <t>カイゴ</t>
    </rPh>
    <rPh sb="2" eb="3">
      <t>ブン</t>
    </rPh>
    <rPh sb="3" eb="6">
      <t>ネンゼイガク</t>
    </rPh>
    <phoneticPr fontId="2"/>
  </si>
  <si>
    <t>No．</t>
    <phoneticPr fontId="2"/>
  </si>
  <si>
    <t>生年月日</t>
    <rPh sb="0" eb="2">
      <t>セイネン</t>
    </rPh>
    <rPh sb="2" eb="4">
      <t>ツキヒ</t>
    </rPh>
    <phoneticPr fontId="2"/>
  </si>
  <si>
    <t>医療分限度額</t>
    <rPh sb="0" eb="2">
      <t>イリョウ</t>
    </rPh>
    <rPh sb="2" eb="3">
      <t>ブン</t>
    </rPh>
    <rPh sb="3" eb="5">
      <t>ゲンド</t>
    </rPh>
    <rPh sb="5" eb="6">
      <t>ガク</t>
    </rPh>
    <phoneticPr fontId="2"/>
  </si>
  <si>
    <t>支援分限度額</t>
    <rPh sb="0" eb="2">
      <t>シエン</t>
    </rPh>
    <rPh sb="2" eb="3">
      <t>ブン</t>
    </rPh>
    <rPh sb="3" eb="5">
      <t>ゲンド</t>
    </rPh>
    <rPh sb="5" eb="6">
      <t>ガク</t>
    </rPh>
    <phoneticPr fontId="2"/>
  </si>
  <si>
    <t>介護分限度額</t>
    <rPh sb="0" eb="2">
      <t>カイゴ</t>
    </rPh>
    <rPh sb="2" eb="3">
      <t>ブン</t>
    </rPh>
    <rPh sb="3" eb="5">
      <t>ゲンド</t>
    </rPh>
    <rPh sb="5" eb="6">
      <t>ガク</t>
    </rPh>
    <phoneticPr fontId="2"/>
  </si>
  <si>
    <t>③給与収入は、源泉徴収票の支払金額、もしくは申告書の給与収入の金額を入力してください。</t>
    <rPh sb="1" eb="3">
      <t>キュウヨ</t>
    </rPh>
    <rPh sb="3" eb="5">
      <t>シュウニュウ</t>
    </rPh>
    <rPh sb="7" eb="9">
      <t>ゲンセン</t>
    </rPh>
    <rPh sb="9" eb="11">
      <t>チョウシュウ</t>
    </rPh>
    <rPh sb="11" eb="12">
      <t>ヒョウ</t>
    </rPh>
    <rPh sb="13" eb="15">
      <t>シハライ</t>
    </rPh>
    <rPh sb="15" eb="17">
      <t>キンガク</t>
    </rPh>
    <rPh sb="22" eb="25">
      <t>シンコクショ</t>
    </rPh>
    <rPh sb="26" eb="28">
      <t>キュウヨ</t>
    </rPh>
    <rPh sb="28" eb="30">
      <t>シュウニュウ</t>
    </rPh>
    <rPh sb="31" eb="33">
      <t>キンガク</t>
    </rPh>
    <rPh sb="34" eb="36">
      <t>ニュウリョク</t>
    </rPh>
    <phoneticPr fontId="1"/>
  </si>
  <si>
    <t>④年金収入（公的年金）は、源泉徴収票の支払金額、もしくは申告書の年金収入の金額を入力してください。</t>
    <rPh sb="1" eb="3">
      <t>ネンキン</t>
    </rPh>
    <rPh sb="3" eb="5">
      <t>シュウニュウ</t>
    </rPh>
    <rPh sb="6" eb="8">
      <t>コウテキ</t>
    </rPh>
    <rPh sb="8" eb="10">
      <t>ネンキン</t>
    </rPh>
    <rPh sb="13" eb="15">
      <t>ゲンセン</t>
    </rPh>
    <rPh sb="15" eb="17">
      <t>チョウシュウ</t>
    </rPh>
    <rPh sb="17" eb="18">
      <t>ヒョウ</t>
    </rPh>
    <rPh sb="19" eb="21">
      <t>シハライ</t>
    </rPh>
    <rPh sb="21" eb="23">
      <t>キンガク</t>
    </rPh>
    <rPh sb="28" eb="31">
      <t>シンコクショ</t>
    </rPh>
    <rPh sb="32" eb="34">
      <t>ネンキン</t>
    </rPh>
    <rPh sb="34" eb="36">
      <t>シュウニュウ</t>
    </rPh>
    <rPh sb="37" eb="39">
      <t>キンガク</t>
    </rPh>
    <rPh sb="40" eb="42">
      <t>ニュウリョク</t>
    </rPh>
    <phoneticPr fontId="1"/>
  </si>
  <si>
    <t>⑤その他所得には、営業・農業・不動産・その他の事業等の所得金額（収入金額－必要経費）を入力してください。</t>
    <rPh sb="3" eb="4">
      <t>タ</t>
    </rPh>
    <rPh sb="4" eb="6">
      <t>ショトク</t>
    </rPh>
    <rPh sb="9" eb="11">
      <t>エイギョウ</t>
    </rPh>
    <rPh sb="12" eb="14">
      <t>ノウギョウ</t>
    </rPh>
    <rPh sb="15" eb="18">
      <t>フドウサン</t>
    </rPh>
    <rPh sb="21" eb="22">
      <t>タ</t>
    </rPh>
    <rPh sb="23" eb="25">
      <t>ジギョウ</t>
    </rPh>
    <rPh sb="25" eb="26">
      <t>トウ</t>
    </rPh>
    <rPh sb="27" eb="29">
      <t>ショトク</t>
    </rPh>
    <rPh sb="29" eb="31">
      <t>キンガク</t>
    </rPh>
    <rPh sb="32" eb="34">
      <t>シュウニュウ</t>
    </rPh>
    <rPh sb="34" eb="36">
      <t>キンガク</t>
    </rPh>
    <rPh sb="37" eb="39">
      <t>ヒツヨウ</t>
    </rPh>
    <rPh sb="39" eb="41">
      <t>ケイヒ</t>
    </rPh>
    <rPh sb="43" eb="45">
      <t>ニュウリョク</t>
    </rPh>
    <phoneticPr fontId="1"/>
  </si>
  <si>
    <t>②非自発軽減は、非自発的離職者に係る国民健康保険税の軽減に該当した場合の試算を希望の際に入力してください。</t>
    <rPh sb="1" eb="2">
      <t>ヒ</t>
    </rPh>
    <rPh sb="2" eb="4">
      <t>ジハツ</t>
    </rPh>
    <rPh sb="4" eb="6">
      <t>ケイゲン</t>
    </rPh>
    <rPh sb="8" eb="9">
      <t>ヒ</t>
    </rPh>
    <rPh sb="9" eb="11">
      <t>ジハツ</t>
    </rPh>
    <rPh sb="11" eb="12">
      <t>テキ</t>
    </rPh>
    <rPh sb="12" eb="15">
      <t>リショクシャ</t>
    </rPh>
    <rPh sb="16" eb="17">
      <t>カカ</t>
    </rPh>
    <rPh sb="18" eb="20">
      <t>コクミン</t>
    </rPh>
    <rPh sb="20" eb="22">
      <t>ケンコウ</t>
    </rPh>
    <rPh sb="22" eb="24">
      <t>ホケン</t>
    </rPh>
    <rPh sb="24" eb="25">
      <t>ゼイ</t>
    </rPh>
    <rPh sb="26" eb="28">
      <t>ケイゲン</t>
    </rPh>
    <rPh sb="29" eb="31">
      <t>ガイトウ</t>
    </rPh>
    <rPh sb="33" eb="35">
      <t>バアイ</t>
    </rPh>
    <rPh sb="36" eb="38">
      <t>シサン</t>
    </rPh>
    <rPh sb="39" eb="41">
      <t>キボウ</t>
    </rPh>
    <rPh sb="42" eb="43">
      <t>サイ</t>
    </rPh>
    <rPh sb="44" eb="46">
      <t>ニュウリョク</t>
    </rPh>
    <phoneticPr fontId="1"/>
  </si>
  <si>
    <t>軽減該当後</t>
    <rPh sb="0" eb="2">
      <t>ケイゲン</t>
    </rPh>
    <rPh sb="2" eb="4">
      <t>ガイトウ</t>
    </rPh>
    <rPh sb="4" eb="5">
      <t>ゴ</t>
    </rPh>
    <phoneticPr fontId="1"/>
  </si>
  <si>
    <t>軽減該当前</t>
    <rPh sb="0" eb="2">
      <t>ケイゲン</t>
    </rPh>
    <rPh sb="2" eb="4">
      <t>ガイトウ</t>
    </rPh>
    <rPh sb="4" eb="5">
      <t>マエ</t>
    </rPh>
    <phoneticPr fontId="1"/>
  </si>
  <si>
    <t>軽減後
所得割</t>
    <rPh sb="0" eb="2">
      <t>ケイゲン</t>
    </rPh>
    <rPh sb="2" eb="3">
      <t>ゴ</t>
    </rPh>
    <rPh sb="4" eb="6">
      <t>ショトク</t>
    </rPh>
    <rPh sb="6" eb="7">
      <t>ワリ</t>
    </rPh>
    <phoneticPr fontId="1"/>
  </si>
  <si>
    <t>通常年税額</t>
    <rPh sb="0" eb="2">
      <t>ツウジョウ</t>
    </rPh>
    <rPh sb="2" eb="5">
      <t>ネンゼイガク</t>
    </rPh>
    <phoneticPr fontId="1"/>
  </si>
  <si>
    <t>軽減年税額</t>
    <rPh sb="0" eb="2">
      <t>ケイゲン</t>
    </rPh>
    <rPh sb="2" eb="5">
      <t>ネンゼイガク</t>
    </rPh>
    <phoneticPr fontId="1"/>
  </si>
  <si>
    <t>通　　常</t>
    <rPh sb="0" eb="1">
      <t>ツウ</t>
    </rPh>
    <rPh sb="3" eb="4">
      <t>ツネ</t>
    </rPh>
    <phoneticPr fontId="1"/>
  </si>
  <si>
    <t>国保税額</t>
    <rPh sb="0" eb="2">
      <t>コクホ</t>
    </rPh>
    <rPh sb="2" eb="3">
      <t>ゼイ</t>
    </rPh>
    <rPh sb="3" eb="4">
      <t>ガク</t>
    </rPh>
    <phoneticPr fontId="2"/>
  </si>
  <si>
    <t>計</t>
    <rPh sb="0" eb="1">
      <t>ケイ</t>
    </rPh>
    <phoneticPr fontId="1"/>
  </si>
  <si>
    <t>【試算表の使い方】</t>
    <rPh sb="1" eb="4">
      <t>シサンヒョウ</t>
    </rPh>
    <rPh sb="5" eb="6">
      <t>ツカ</t>
    </rPh>
    <rPh sb="7" eb="8">
      <t>カタ</t>
    </rPh>
    <phoneticPr fontId="1"/>
  </si>
  <si>
    <t>※計算結果はあくまで概算であり、実際の税額と異なる場合があります※</t>
    <phoneticPr fontId="1"/>
  </si>
  <si>
    <t>①生年月日は、必ず入力してください。</t>
    <rPh sb="1" eb="3">
      <t>セイネン</t>
    </rPh>
    <rPh sb="3" eb="5">
      <t>ガッピ</t>
    </rPh>
    <rPh sb="7" eb="8">
      <t>カナラ</t>
    </rPh>
    <rPh sb="9" eb="11">
      <t>ニュウリョク</t>
    </rPh>
    <phoneticPr fontId="1"/>
  </si>
  <si>
    <t>◆◇◆下記の三点をお読みいただいた後に、黄色の部分を入力してください◆◇◆</t>
    <rPh sb="3" eb="5">
      <t>カキ</t>
    </rPh>
    <rPh sb="6" eb="7">
      <t>サン</t>
    </rPh>
    <rPh sb="7" eb="8">
      <t>テン</t>
    </rPh>
    <rPh sb="10" eb="11">
      <t>ヨ</t>
    </rPh>
    <rPh sb="17" eb="18">
      <t>アト</t>
    </rPh>
    <rPh sb="20" eb="22">
      <t>キイロ</t>
    </rPh>
    <rPh sb="23" eb="25">
      <t>ブブン</t>
    </rPh>
    <rPh sb="26" eb="28">
      <t>ニュウリョク</t>
    </rPh>
    <phoneticPr fontId="1"/>
  </si>
  <si>
    <t>加入月</t>
    <rPh sb="0" eb="2">
      <t>カニュウ</t>
    </rPh>
    <rPh sb="2" eb="3">
      <t>ツキ</t>
    </rPh>
    <phoneticPr fontId="1"/>
  </si>
  <si>
    <t>合計金額への補正</t>
    <rPh sb="0" eb="2">
      <t>ゴウケイ</t>
    </rPh>
    <rPh sb="2" eb="4">
      <t>キンガク</t>
    </rPh>
    <rPh sb="6" eb="8">
      <t>ホセイ</t>
    </rPh>
    <phoneticPr fontId="1"/>
  </si>
  <si>
    <t>加入月からの検索結果</t>
    <rPh sb="0" eb="2">
      <t>カニュウ</t>
    </rPh>
    <rPh sb="2" eb="3">
      <t>ツキ</t>
    </rPh>
    <rPh sb="6" eb="8">
      <t>ケンサク</t>
    </rPh>
    <rPh sb="8" eb="10">
      <t>ケッカ</t>
    </rPh>
    <phoneticPr fontId="1"/>
  </si>
  <si>
    <t>その年度の残り月数</t>
    <rPh sb="2" eb="4">
      <t>ネンド</t>
    </rPh>
    <rPh sb="5" eb="6">
      <t>ノコ</t>
    </rPh>
    <rPh sb="7" eb="8">
      <t>ツキ</t>
    </rPh>
    <rPh sb="8" eb="9">
      <t>スウ</t>
    </rPh>
    <phoneticPr fontId="1"/>
  </si>
  <si>
    <t>加入する日付</t>
    <rPh sb="0" eb="2">
      <t>カニュウ</t>
    </rPh>
    <rPh sb="4" eb="6">
      <t>ヒヅケ</t>
    </rPh>
    <phoneticPr fontId="1"/>
  </si>
  <si>
    <t>　◇◆◇入力例◇◆◇</t>
    <rPh sb="4" eb="6">
      <t>ニュウリョク</t>
    </rPh>
    <rPh sb="6" eb="7">
      <t>レイ</t>
    </rPh>
    <phoneticPr fontId="1"/>
  </si>
  <si>
    <t>１ヶ月分</t>
    <rPh sb="2" eb="3">
      <t>ゲツ</t>
    </rPh>
    <rPh sb="3" eb="4">
      <t>ツキブン</t>
    </rPh>
    <phoneticPr fontId="1"/>
  </si>
  <si>
    <t>３ヶ月分</t>
    <rPh sb="2" eb="3">
      <t>ゲツ</t>
    </rPh>
    <rPh sb="3" eb="4">
      <t>ブン</t>
    </rPh>
    <phoneticPr fontId="1"/>
  </si>
  <si>
    <t>２ヶ月分</t>
    <rPh sb="2" eb="3">
      <t>ゲツ</t>
    </rPh>
    <rPh sb="3" eb="4">
      <t>ブン</t>
    </rPh>
    <phoneticPr fontId="1"/>
  </si>
  <si>
    <t>１ヶ月分</t>
    <rPh sb="2" eb="3">
      <t>ゲツ</t>
    </rPh>
    <rPh sb="3" eb="4">
      <t>ブン</t>
    </rPh>
    <phoneticPr fontId="1"/>
  </si>
  <si>
    <t>１２ヶ月分</t>
    <rPh sb="3" eb="4">
      <t>ゲツ</t>
    </rPh>
    <rPh sb="4" eb="5">
      <t>ブン</t>
    </rPh>
    <phoneticPr fontId="1"/>
  </si>
  <si>
    <t>１１ヶ月分</t>
    <rPh sb="3" eb="4">
      <t>ゲツ</t>
    </rPh>
    <rPh sb="4" eb="5">
      <t>ブン</t>
    </rPh>
    <phoneticPr fontId="1"/>
  </si>
  <si>
    <t>１０ヶ月分</t>
    <rPh sb="3" eb="4">
      <t>ゲツ</t>
    </rPh>
    <rPh sb="4" eb="5">
      <t>ブン</t>
    </rPh>
    <phoneticPr fontId="1"/>
  </si>
  <si>
    <t>９ヶ月分</t>
    <rPh sb="2" eb="3">
      <t>ゲツ</t>
    </rPh>
    <rPh sb="3" eb="4">
      <t>ブン</t>
    </rPh>
    <phoneticPr fontId="1"/>
  </si>
  <si>
    <t>８ヶ月分</t>
    <rPh sb="2" eb="3">
      <t>ゲツ</t>
    </rPh>
    <rPh sb="3" eb="4">
      <t>ブン</t>
    </rPh>
    <phoneticPr fontId="1"/>
  </si>
  <si>
    <t>７ヶ月分</t>
    <rPh sb="2" eb="3">
      <t>ゲツ</t>
    </rPh>
    <rPh sb="3" eb="4">
      <t>ブン</t>
    </rPh>
    <phoneticPr fontId="1"/>
  </si>
  <si>
    <t>６ヶ月分</t>
    <rPh sb="2" eb="3">
      <t>ゲツ</t>
    </rPh>
    <rPh sb="3" eb="4">
      <t>ブン</t>
    </rPh>
    <phoneticPr fontId="1"/>
  </si>
  <si>
    <t>５ヶ月分</t>
    <rPh sb="2" eb="3">
      <t>ゲツ</t>
    </rPh>
    <rPh sb="3" eb="4">
      <t>ブン</t>
    </rPh>
    <phoneticPr fontId="1"/>
  </si>
  <si>
    <t>４ヶ月分</t>
    <rPh sb="2" eb="3">
      <t>ゲツ</t>
    </rPh>
    <rPh sb="3" eb="4">
      <t>ブン</t>
    </rPh>
    <phoneticPr fontId="1"/>
  </si>
  <si>
    <t>から</t>
    <phoneticPr fontId="1"/>
  </si>
  <si>
    <t>②生年月日</t>
    <rPh sb="1" eb="3">
      <t>セイネン</t>
    </rPh>
    <rPh sb="3" eb="5">
      <t>ガッピ</t>
    </rPh>
    <phoneticPr fontId="1"/>
  </si>
  <si>
    <t>③非自発軽減</t>
    <rPh sb="1" eb="2">
      <t>ヒ</t>
    </rPh>
    <rPh sb="2" eb="4">
      <t>ジハツ</t>
    </rPh>
    <rPh sb="4" eb="6">
      <t>ケイゲン</t>
    </rPh>
    <phoneticPr fontId="1"/>
  </si>
  <si>
    <t>④給与収入</t>
    <rPh sb="1" eb="3">
      <t>キュウヨ</t>
    </rPh>
    <rPh sb="3" eb="5">
      <t>シュウニュウ</t>
    </rPh>
    <phoneticPr fontId="1"/>
  </si>
  <si>
    <t>①　いつから国保に加入するか</t>
    <rPh sb="6" eb="8">
      <t>コクホ</t>
    </rPh>
    <rPh sb="9" eb="11">
      <t>カニュウ</t>
    </rPh>
    <phoneticPr fontId="1"/>
  </si>
  <si>
    <t>「○○ヶ月分」と表示させる</t>
    <rPh sb="4" eb="5">
      <t>ゲツ</t>
    </rPh>
    <rPh sb="5" eb="6">
      <t>ブン</t>
    </rPh>
    <rPh sb="8" eb="10">
      <t>ヒョウジ</t>
    </rPh>
    <phoneticPr fontId="1"/>
  </si>
  <si>
    <t>区分</t>
    <rPh sb="0" eb="2">
      <t>クブン</t>
    </rPh>
    <phoneticPr fontId="1"/>
  </si>
  <si>
    <t>所得割率</t>
    <rPh sb="0" eb="2">
      <t>ショトク</t>
    </rPh>
    <rPh sb="2" eb="3">
      <t>ワリ</t>
    </rPh>
    <rPh sb="3" eb="4">
      <t>リツ</t>
    </rPh>
    <phoneticPr fontId="1"/>
  </si>
  <si>
    <t>7.80</t>
    <phoneticPr fontId="1"/>
  </si>
  <si>
    <t>％</t>
    <phoneticPr fontId="1"/>
  </si>
  <si>
    <t>2.90</t>
    <phoneticPr fontId="1"/>
  </si>
  <si>
    <t>2.50</t>
    <phoneticPr fontId="1"/>
  </si>
  <si>
    <t>均等割額</t>
    <rPh sb="0" eb="3">
      <t>キントウワリ</t>
    </rPh>
    <rPh sb="3" eb="4">
      <t>ガク</t>
    </rPh>
    <phoneticPr fontId="1"/>
  </si>
  <si>
    <t>円</t>
    <rPh sb="0" eb="1">
      <t>エン</t>
    </rPh>
    <phoneticPr fontId="1"/>
  </si>
  <si>
    <t>（１人あたり）</t>
    <rPh sb="1" eb="3">
      <t>ヒトリ</t>
    </rPh>
    <phoneticPr fontId="1"/>
  </si>
  <si>
    <t>平等割額</t>
    <rPh sb="0" eb="2">
      <t>ビョウドウ</t>
    </rPh>
    <rPh sb="2" eb="3">
      <t>ワリ</t>
    </rPh>
    <rPh sb="3" eb="4">
      <t>ガク</t>
    </rPh>
    <phoneticPr fontId="1"/>
  </si>
  <si>
    <t>（１世帯あたり）</t>
    <rPh sb="2" eb="4">
      <t>セタイ</t>
    </rPh>
    <phoneticPr fontId="1"/>
  </si>
  <si>
    <t>非自発軽減該当時</t>
    <rPh sb="0" eb="1">
      <t>ヒ</t>
    </rPh>
    <rPh sb="1" eb="3">
      <t>ジハツ</t>
    </rPh>
    <rPh sb="3" eb="5">
      <t>ケイゲン</t>
    </rPh>
    <rPh sb="5" eb="7">
      <t>ガイトウ</t>
    </rPh>
    <rPh sb="7" eb="8">
      <t>ジ</t>
    </rPh>
    <phoneticPr fontId="1"/>
  </si>
  <si>
    <t>様</t>
    <rPh sb="0" eb="1">
      <t>サマ</t>
    </rPh>
    <phoneticPr fontId="1"/>
  </si>
  <si>
    <t>（概算）</t>
    <rPh sb="1" eb="3">
      <t>ガイサン</t>
    </rPh>
    <phoneticPr fontId="1"/>
  </si>
  <si>
    <t>平成２７年度　国民健康保険税　試算表</t>
    <phoneticPr fontId="1"/>
  </si>
  <si>
    <t>年</t>
    <rPh sb="0" eb="1">
      <t>ネン</t>
    </rPh>
    <phoneticPr fontId="1"/>
  </si>
  <si>
    <t>月</t>
    <rPh sb="0" eb="1">
      <t>ガツ</t>
    </rPh>
    <phoneticPr fontId="1"/>
  </si>
  <si>
    <t>日</t>
    <rPh sb="0" eb="1">
      <t>ニチ</t>
    </rPh>
    <phoneticPr fontId="1"/>
  </si>
  <si>
    <t>令和</t>
    <rPh sb="0" eb="2">
      <t>レイワ</t>
    </rPh>
    <phoneticPr fontId="1"/>
  </si>
  <si>
    <t>65歳未満の場合</t>
    <rPh sb="2" eb="5">
      <t>サイミマン</t>
    </rPh>
    <rPh sb="6" eb="8">
      <t>バアイ</t>
    </rPh>
    <phoneticPr fontId="1"/>
  </si>
  <si>
    <t>65歳以上の場合</t>
    <rPh sb="2" eb="3">
      <t>サイ</t>
    </rPh>
    <rPh sb="3" eb="5">
      <t>イジョウ</t>
    </rPh>
    <rPh sb="6" eb="8">
      <t>バアイ</t>
    </rPh>
    <phoneticPr fontId="1"/>
  </si>
  <si>
    <t>年金控除減少額（年金以外所得が1000万以上）</t>
    <rPh sb="0" eb="2">
      <t>ネンキン</t>
    </rPh>
    <rPh sb="2" eb="4">
      <t>コウジョ</t>
    </rPh>
    <rPh sb="4" eb="6">
      <t>ゲンショウ</t>
    </rPh>
    <rPh sb="6" eb="7">
      <t>ガク</t>
    </rPh>
    <rPh sb="8" eb="10">
      <t>ネンキン</t>
    </rPh>
    <rPh sb="10" eb="12">
      <t>イガイ</t>
    </rPh>
    <rPh sb="12" eb="14">
      <t>ショトク</t>
    </rPh>
    <rPh sb="19" eb="20">
      <t>マン</t>
    </rPh>
    <rPh sb="20" eb="22">
      <t>イジョウ</t>
    </rPh>
    <phoneticPr fontId="1"/>
  </si>
  <si>
    <t>a.給与所得（上限10万円）</t>
    <rPh sb="2" eb="4">
      <t>キュウヨ</t>
    </rPh>
    <rPh sb="4" eb="6">
      <t>ショトク</t>
    </rPh>
    <rPh sb="7" eb="9">
      <t>ジョウゲン</t>
    </rPh>
    <rPh sb="11" eb="12">
      <t>マン</t>
    </rPh>
    <rPh sb="12" eb="13">
      <t>エン</t>
    </rPh>
    <phoneticPr fontId="1"/>
  </si>
  <si>
    <t>b.年金所得（上限10万円）</t>
    <rPh sb="2" eb="4">
      <t>ネンキン</t>
    </rPh>
    <rPh sb="4" eb="6">
      <t>ショトク</t>
    </rPh>
    <rPh sb="7" eb="9">
      <t>ジョウゲン</t>
    </rPh>
    <rPh sb="11" eb="12">
      <t>マン</t>
    </rPh>
    <rPh sb="12" eb="13">
      <t>エン</t>
    </rPh>
    <phoneticPr fontId="1"/>
  </si>
  <si>
    <t>調整控除額</t>
    <rPh sb="0" eb="2">
      <t>チョウセイ</t>
    </rPh>
    <rPh sb="2" eb="4">
      <t>コウジョ</t>
    </rPh>
    <rPh sb="4" eb="5">
      <t>ガク</t>
    </rPh>
    <phoneticPr fontId="2"/>
  </si>
  <si>
    <t>加入期間</t>
    <rPh sb="0" eb="2">
      <t>カニュウ</t>
    </rPh>
    <rPh sb="2" eb="4">
      <t>キカン</t>
    </rPh>
    <phoneticPr fontId="1"/>
  </si>
  <si>
    <t>⑦その他所得</t>
    <rPh sb="3" eb="4">
      <t>タ</t>
    </rPh>
    <rPh sb="4" eb="6">
      <t>ショトク</t>
    </rPh>
    <phoneticPr fontId="1"/>
  </si>
  <si>
    <t>年齢</t>
    <rPh sb="0" eb="2">
      <t>ネンレイ</t>
    </rPh>
    <phoneticPr fontId="1"/>
  </si>
  <si>
    <t>←を数値に</t>
    <rPh sb="2" eb="4">
      <t>スウチ</t>
    </rPh>
    <phoneticPr fontId="1"/>
  </si>
  <si>
    <t>＜年金所得＞</t>
    <phoneticPr fontId="1"/>
  </si>
  <si>
    <t>＜所得金額調整控除＞</t>
    <phoneticPr fontId="1"/>
  </si>
  <si>
    <t>a+b</t>
    <phoneticPr fontId="1"/>
  </si>
  <si>
    <t>生年
月日</t>
    <rPh sb="0" eb="1">
      <t>セイ</t>
    </rPh>
    <rPh sb="3" eb="4">
      <t>ガツ</t>
    </rPh>
    <rPh sb="4" eb="5">
      <t>ヒ</t>
    </rPh>
    <phoneticPr fontId="1"/>
  </si>
  <si>
    <t>←を計算
可能に</t>
    <rPh sb="2" eb="4">
      <t>ケイサン</t>
    </rPh>
    <rPh sb="5" eb="7">
      <t>カノウ</t>
    </rPh>
    <phoneticPr fontId="1"/>
  </si>
  <si>
    <t>年齢区分</t>
    <rPh sb="0" eb="2">
      <t>ネンレイ</t>
    </rPh>
    <rPh sb="2" eb="4">
      <t>クブン</t>
    </rPh>
    <phoneticPr fontId="1"/>
  </si>
  <si>
    <t>年齢区分
判定基準日</t>
    <rPh sb="0" eb="2">
      <t>ネンレイ</t>
    </rPh>
    <rPh sb="2" eb="4">
      <t>クブン</t>
    </rPh>
    <phoneticPr fontId="1"/>
  </si>
  <si>
    <t>＜給与所得＞</t>
    <phoneticPr fontId="1"/>
  </si>
  <si>
    <t>軽減
所得割
合計</t>
    <rPh sb="0" eb="2">
      <t>ケイゲン</t>
    </rPh>
    <rPh sb="3" eb="5">
      <t>ショトク</t>
    </rPh>
    <rPh sb="5" eb="6">
      <t>ワリ</t>
    </rPh>
    <rPh sb="7" eb="9">
      <t>ゴウケイ</t>
    </rPh>
    <phoneticPr fontId="1"/>
  </si>
  <si>
    <t>通常
所得割</t>
    <rPh sb="0" eb="2">
      <t>ツウジョウ</t>
    </rPh>
    <rPh sb="3" eb="5">
      <t>ショトク</t>
    </rPh>
    <rPh sb="5" eb="6">
      <t>ワリ</t>
    </rPh>
    <phoneticPr fontId="1"/>
  </si>
  <si>
    <t>所得割
合計</t>
    <rPh sb="0" eb="2">
      <t>ショトク</t>
    </rPh>
    <rPh sb="2" eb="3">
      <t>ワリ</t>
    </rPh>
    <rPh sb="4" eb="6">
      <t>ゴウケイ</t>
    </rPh>
    <phoneticPr fontId="1"/>
  </si>
  <si>
    <t>均等割
合計</t>
    <rPh sb="0" eb="3">
      <t>キントウワリ</t>
    </rPh>
    <rPh sb="4" eb="6">
      <t>ゴウケイ</t>
    </rPh>
    <phoneticPr fontId="1"/>
  </si>
  <si>
    <t>１項：特別障がい者等（給与収入850万超えの場合）</t>
    <rPh sb="1" eb="2">
      <t>コウ</t>
    </rPh>
    <rPh sb="3" eb="5">
      <t>トクベツ</t>
    </rPh>
    <rPh sb="5" eb="6">
      <t>ショウ</t>
    </rPh>
    <rPh sb="8" eb="9">
      <t>シャ</t>
    </rPh>
    <rPh sb="9" eb="10">
      <t>トウ</t>
    </rPh>
    <rPh sb="11" eb="13">
      <t>キュウヨ</t>
    </rPh>
    <rPh sb="13" eb="15">
      <t>シュウニュウ</t>
    </rPh>
    <rPh sb="18" eb="19">
      <t>マン</t>
    </rPh>
    <rPh sb="19" eb="20">
      <t>コ</t>
    </rPh>
    <rPh sb="22" eb="24">
      <t>バアイ</t>
    </rPh>
    <phoneticPr fontId="1"/>
  </si>
  <si>
    <t>２項：年金所得がある者</t>
    <rPh sb="1" eb="2">
      <t>コウ</t>
    </rPh>
    <rPh sb="3" eb="5">
      <t>ネンキン</t>
    </rPh>
    <rPh sb="5" eb="7">
      <t>ショトク</t>
    </rPh>
    <rPh sb="10" eb="11">
      <t>モノ</t>
    </rPh>
    <phoneticPr fontId="1"/>
  </si>
  <si>
    <t>合計の所得金額</t>
    <rPh sb="0" eb="2">
      <t>ゴウケイ</t>
    </rPh>
    <rPh sb="3" eb="5">
      <t>ショトク</t>
    </rPh>
    <rPh sb="5" eb="7">
      <t>キンガク</t>
    </rPh>
    <phoneticPr fontId="1"/>
  </si>
  <si>
    <t>１８歳以下基準日</t>
    <rPh sb="2" eb="5">
      <t>サイイカ</t>
    </rPh>
    <rPh sb="5" eb="8">
      <t>キジュンビ</t>
    </rPh>
    <phoneticPr fontId="1"/>
  </si>
  <si>
    <t>18歳以下の均等割
減免されている額（年額）</t>
    <rPh sb="2" eb="3">
      <t>サイ</t>
    </rPh>
    <rPh sb="3" eb="5">
      <t>イカ</t>
    </rPh>
    <rPh sb="6" eb="9">
      <t>キントウワ</t>
    </rPh>
    <rPh sb="10" eb="12">
      <t>ゲンメン</t>
    </rPh>
    <rPh sb="17" eb="18">
      <t>ガク</t>
    </rPh>
    <rPh sb="19" eb="21">
      <t>ネンガク</t>
    </rPh>
    <phoneticPr fontId="1"/>
  </si>
  <si>
    <t>18歳以下の方</t>
    <rPh sb="2" eb="3">
      <t>サイ</t>
    </rPh>
    <rPh sb="3" eb="5">
      <t>イカ</t>
    </rPh>
    <rPh sb="6" eb="7">
      <t>カタ</t>
    </rPh>
    <phoneticPr fontId="1"/>
  </si>
  <si>
    <t>までに19歳以上になる者を除く</t>
    <phoneticPr fontId="1"/>
  </si>
  <si>
    <t>上位所得</t>
    <rPh sb="0" eb="2">
      <t>ジョウイ</t>
    </rPh>
    <rPh sb="2" eb="4">
      <t>ショトク</t>
    </rPh>
    <phoneticPr fontId="1"/>
  </si>
  <si>
    <t>子ども減免前</t>
    <rPh sb="0" eb="1">
      <t>コ</t>
    </rPh>
    <rPh sb="3" eb="5">
      <t>ゲンメン</t>
    </rPh>
    <rPh sb="5" eb="6">
      <t>マエ</t>
    </rPh>
    <phoneticPr fontId="1"/>
  </si>
  <si>
    <t>子ども減免後</t>
    <rPh sb="0" eb="1">
      <t>コ</t>
    </rPh>
    <rPh sb="3" eb="5">
      <t>ゲンメン</t>
    </rPh>
    <rPh sb="5" eb="6">
      <t>ゴ</t>
    </rPh>
    <phoneticPr fontId="1"/>
  </si>
  <si>
    <t>子ども減免額</t>
    <phoneticPr fontId="1"/>
  </si>
  <si>
    <t>医療分</t>
    <rPh sb="0" eb="2">
      <t>イリョウ</t>
    </rPh>
    <rPh sb="2" eb="3">
      <t>ブン</t>
    </rPh>
    <phoneticPr fontId="1"/>
  </si>
  <si>
    <t>支援分</t>
    <rPh sb="0" eb="2">
      <t>シエン</t>
    </rPh>
    <rPh sb="2" eb="3">
      <t>ブン</t>
    </rPh>
    <phoneticPr fontId="1"/>
  </si>
  <si>
    <t>合計</t>
    <rPh sb="0" eb="2">
      <t>ゴウケイ</t>
    </rPh>
    <phoneticPr fontId="1"/>
  </si>
  <si>
    <t>※年金以外合計所得(所得金額調整控除前)</t>
    <rPh sb="1" eb="3">
      <t>ネンキン</t>
    </rPh>
    <rPh sb="3" eb="5">
      <t>イガイ</t>
    </rPh>
    <rPh sb="5" eb="7">
      <t>ゴウケイ</t>
    </rPh>
    <rPh sb="7" eb="9">
      <t>ショトク</t>
    </rPh>
    <rPh sb="10" eb="12">
      <t>ショトク</t>
    </rPh>
    <rPh sb="12" eb="14">
      <t>キンガク</t>
    </rPh>
    <rPh sb="14" eb="16">
      <t>チョウセイ</t>
    </rPh>
    <rPh sb="16" eb="18">
      <t>コウジョ</t>
    </rPh>
    <rPh sb="18" eb="19">
      <t>マエ</t>
    </rPh>
    <phoneticPr fontId="1"/>
  </si>
  <si>
    <t>軽減後
給与所得</t>
    <rPh sb="0" eb="2">
      <t>ケイゲン</t>
    </rPh>
    <rPh sb="2" eb="3">
      <t>ゴ</t>
    </rPh>
    <rPh sb="4" eb="6">
      <t>キュウヨ</t>
    </rPh>
    <rPh sb="6" eb="8">
      <t>ショトク</t>
    </rPh>
    <phoneticPr fontId="1"/>
  </si>
  <si>
    <t>軽減・所得控除前給与所得</t>
    <rPh sb="0" eb="2">
      <t>ケイゲン</t>
    </rPh>
    <rPh sb="3" eb="5">
      <t>ショトク</t>
    </rPh>
    <rPh sb="5" eb="7">
      <t>コウジョ</t>
    </rPh>
    <rPh sb="7" eb="8">
      <t>マエ</t>
    </rPh>
    <rPh sb="8" eb="10">
      <t>キュウヨ</t>
    </rPh>
    <rPh sb="10" eb="12">
      <t>ショトク</t>
    </rPh>
    <phoneticPr fontId="1"/>
  </si>
  <si>
    <t>調整控除後給与所得</t>
    <rPh sb="0" eb="2">
      <t>チョウセイ</t>
    </rPh>
    <rPh sb="2" eb="4">
      <t>コウジョ</t>
    </rPh>
    <rPh sb="4" eb="5">
      <t>アト</t>
    </rPh>
    <rPh sb="5" eb="7">
      <t>キュウヨ</t>
    </rPh>
    <rPh sb="7" eb="9">
      <t>ショトク</t>
    </rPh>
    <phoneticPr fontId="1"/>
  </si>
  <si>
    <t>所得調整控除後給与所得</t>
    <rPh sb="0" eb="2">
      <t>ショトク</t>
    </rPh>
    <rPh sb="2" eb="4">
      <t>チョウセイ</t>
    </rPh>
    <rPh sb="4" eb="6">
      <t>コウジョ</t>
    </rPh>
    <rPh sb="6" eb="7">
      <t>ゴ</t>
    </rPh>
    <rPh sb="7" eb="9">
      <t>キュウヨ</t>
    </rPh>
    <rPh sb="9" eb="11">
      <t>ショトク</t>
    </rPh>
    <phoneticPr fontId="1"/>
  </si>
  <si>
    <t>総所得
(軽減該当）</t>
    <rPh sb="0" eb="1">
      <t>ソウ</t>
    </rPh>
    <rPh sb="1" eb="3">
      <t>ショトク</t>
    </rPh>
    <rPh sb="5" eb="7">
      <t>ケイゲン</t>
    </rPh>
    <rPh sb="7" eb="9">
      <t>ガイトウ</t>
    </rPh>
    <phoneticPr fontId="1"/>
  </si>
  <si>
    <t>総所得
(通常）</t>
    <rPh sb="0" eb="1">
      <t>ソウ</t>
    </rPh>
    <rPh sb="1" eb="3">
      <t>ショトク</t>
    </rPh>
    <rPh sb="5" eb="7">
      <t>ツウジョウ</t>
    </rPh>
    <phoneticPr fontId="1"/>
  </si>
  <si>
    <t>（年）</t>
    <rPh sb="1" eb="2">
      <t>ネン</t>
    </rPh>
    <phoneticPr fontId="1"/>
  </si>
  <si>
    <t>（月）</t>
    <rPh sb="1" eb="2">
      <t>ツキ</t>
    </rPh>
    <phoneticPr fontId="1"/>
  </si>
  <si>
    <t>月割賦課額</t>
    <rPh sb="0" eb="2">
      <t>ツキワリ</t>
    </rPh>
    <rPh sb="2" eb="5">
      <t>フカガク</t>
    </rPh>
    <phoneticPr fontId="1"/>
  </si>
  <si>
    <t>子ども減免
非該当時
→</t>
    <rPh sb="0" eb="1">
      <t>コ</t>
    </rPh>
    <rPh sb="3" eb="5">
      <t>ゲンメン</t>
    </rPh>
    <rPh sb="6" eb="9">
      <t>ヒガイトウ</t>
    </rPh>
    <rPh sb="9" eb="10">
      <t>ジ</t>
    </rPh>
    <phoneticPr fontId="1"/>
  </si>
  <si>
    <t>基礎控除後の合計所得(軽減該当)</t>
    <rPh sb="0" eb="2">
      <t>キソ</t>
    </rPh>
    <rPh sb="2" eb="4">
      <t>コウジョ</t>
    </rPh>
    <rPh sb="4" eb="5">
      <t>ゴ</t>
    </rPh>
    <rPh sb="6" eb="8">
      <t>ゴウケイ</t>
    </rPh>
    <rPh sb="8" eb="10">
      <t>ショトク</t>
    </rPh>
    <rPh sb="11" eb="13">
      <t>ケイゲン</t>
    </rPh>
    <rPh sb="13" eb="15">
      <t>ガイトウ</t>
    </rPh>
    <phoneticPr fontId="1"/>
  </si>
  <si>
    <t>基礎控除後の合計所得（通常）</t>
    <rPh sb="0" eb="2">
      <t>キソ</t>
    </rPh>
    <rPh sb="2" eb="4">
      <t>コウジョ</t>
    </rPh>
    <rPh sb="4" eb="5">
      <t>ゴ</t>
    </rPh>
    <rPh sb="6" eb="8">
      <t>ゴウケイ</t>
    </rPh>
    <rPh sb="8" eb="10">
      <t>ショトク</t>
    </rPh>
    <rPh sb="11" eb="13">
      <t>ツウジョウ</t>
    </rPh>
    <phoneticPr fontId="1"/>
  </si>
  <si>
    <t>子ども人数</t>
    <rPh sb="0" eb="1">
      <t>コ</t>
    </rPh>
    <rPh sb="3" eb="5">
      <t>ニンズウ</t>
    </rPh>
    <phoneticPr fontId="1"/>
  </si>
  <si>
    <t>↓「通常時○○月分の金額」</t>
    <rPh sb="2" eb="4">
      <t>ツウジョウ</t>
    </rPh>
    <rPh sb="4" eb="5">
      <t>ジ</t>
    </rPh>
    <rPh sb="7" eb="9">
      <t>ガツブン</t>
    </rPh>
    <rPh sb="10" eb="12">
      <t>キンガク</t>
    </rPh>
    <phoneticPr fontId="1"/>
  </si>
  <si>
    <t>↓「通常時一月分の金額」</t>
    <rPh sb="2" eb="4">
      <t>ツウジョウ</t>
    </rPh>
    <rPh sb="4" eb="5">
      <t>ジ</t>
    </rPh>
    <rPh sb="5" eb="6">
      <t>イチ</t>
    </rPh>
    <rPh sb="6" eb="8">
      <t>ガツブン</t>
    </rPh>
    <rPh sb="9" eb="11">
      <t>キンガク</t>
    </rPh>
    <phoneticPr fontId="1"/>
  </si>
  <si>
    <t>↓「非自発的軽減該当時の○○月分の金額」</t>
    <rPh sb="2" eb="3">
      <t>ヒ</t>
    </rPh>
    <rPh sb="3" eb="5">
      <t>ジハツ</t>
    </rPh>
    <rPh sb="5" eb="6">
      <t>テキ</t>
    </rPh>
    <rPh sb="6" eb="8">
      <t>ケイゲン</t>
    </rPh>
    <rPh sb="8" eb="10">
      <t>ガイトウ</t>
    </rPh>
    <rPh sb="10" eb="11">
      <t>ジ</t>
    </rPh>
    <rPh sb="14" eb="16">
      <t>ガツブン</t>
    </rPh>
    <rPh sb="17" eb="19">
      <t>キンガク</t>
    </rPh>
    <phoneticPr fontId="1"/>
  </si>
  <si>
    <t>↓「非自発的軽減該当時の一ヶ月分の金額」</t>
    <rPh sb="2" eb="3">
      <t>ヒ</t>
    </rPh>
    <rPh sb="3" eb="5">
      <t>ジハツ</t>
    </rPh>
    <rPh sb="5" eb="6">
      <t>テキ</t>
    </rPh>
    <rPh sb="6" eb="8">
      <t>ケイゲン</t>
    </rPh>
    <rPh sb="8" eb="10">
      <t>ガイトウ</t>
    </rPh>
    <rPh sb="10" eb="11">
      <t>ジ</t>
    </rPh>
    <rPh sb="12" eb="15">
      <t>イッカゲツ</t>
    </rPh>
    <rPh sb="15" eb="16">
      <t>ブン</t>
    </rPh>
    <rPh sb="17" eb="19">
      <t>キンガク</t>
    </rPh>
    <phoneticPr fontId="1"/>
  </si>
  <si>
    <t>↓</t>
    <phoneticPr fontId="1"/>
  </si>
  <si>
    <t>←　←　←　←</t>
    <phoneticPr fontId="1"/>
  </si>
  <si>
    <t>１項調整
控除額</t>
    <rPh sb="1" eb="2">
      <t>コウ</t>
    </rPh>
    <rPh sb="2" eb="4">
      <t>チョウセイ</t>
    </rPh>
    <rPh sb="5" eb="6">
      <t>ヒカ</t>
    </rPh>
    <rPh sb="6" eb="7">
      <t>ジ</t>
    </rPh>
    <rPh sb="7" eb="8">
      <t>ガク</t>
    </rPh>
    <phoneticPr fontId="1"/>
  </si>
  <si>
    <t>子ども均等割
軽減額</t>
    <rPh sb="0" eb="1">
      <t>コ</t>
    </rPh>
    <rPh sb="3" eb="6">
      <t>キントウワ</t>
    </rPh>
    <rPh sb="7" eb="9">
      <t>ケイゲン</t>
    </rPh>
    <rPh sb="9" eb="10">
      <t>ガク</t>
    </rPh>
    <phoneticPr fontId="2"/>
  </si>
  <si>
    <t>対象人数</t>
    <rPh sb="0" eb="2">
      <t>タイショウ</t>
    </rPh>
    <rPh sb="2" eb="4">
      <t>ニンズウ</t>
    </rPh>
    <phoneticPr fontId="1"/>
  </si>
  <si>
    <t>※税法上65歳以上の年金控除額となる基準日</t>
    <rPh sb="1" eb="4">
      <t>ゼイホウジョウ</t>
    </rPh>
    <rPh sb="6" eb="9">
      <t>サイイジョウ</t>
    </rPh>
    <rPh sb="10" eb="12">
      <t>ネンキン</t>
    </rPh>
    <rPh sb="12" eb="14">
      <t>コウジョ</t>
    </rPh>
    <rPh sb="14" eb="15">
      <t>ガク</t>
    </rPh>
    <rPh sb="18" eb="21">
      <t>キジュンビ</t>
    </rPh>
    <phoneticPr fontId="1"/>
  </si>
  <si>
    <t>（上）18歳以下基準日時点の年齢
（下）加入日以降に生まれる方（○・×）</t>
    <rPh sb="1" eb="2">
      <t>ウエ</t>
    </rPh>
    <rPh sb="5" eb="6">
      <t>サイ</t>
    </rPh>
    <rPh sb="6" eb="8">
      <t>イカ</t>
    </rPh>
    <rPh sb="8" eb="11">
      <t>キジュンビ</t>
    </rPh>
    <rPh sb="18" eb="19">
      <t>シタ</t>
    </rPh>
    <rPh sb="20" eb="22">
      <t>カニュウ</t>
    </rPh>
    <rPh sb="22" eb="23">
      <t>ビ</t>
    </rPh>
    <rPh sb="23" eb="25">
      <t>イコウ</t>
    </rPh>
    <rPh sb="26" eb="27">
      <t>ウ</t>
    </rPh>
    <rPh sb="30" eb="31">
      <t>カタ</t>
    </rPh>
    <phoneticPr fontId="1"/>
  </si>
  <si>
    <t>６歳以下基準日</t>
    <rPh sb="1" eb="4">
      <t>サイイカ</t>
    </rPh>
    <rPh sb="4" eb="7">
      <t>キジュンビ</t>
    </rPh>
    <phoneticPr fontId="1"/>
  </si>
  <si>
    <t>以降生まれの者</t>
    <rPh sb="0" eb="2">
      <t>イコウ</t>
    </rPh>
    <rPh sb="2" eb="3">
      <t>ウ</t>
    </rPh>
    <rPh sb="6" eb="7">
      <t>モノ</t>
    </rPh>
    <phoneticPr fontId="1"/>
  </si>
  <si>
    <t>非該当</t>
    <phoneticPr fontId="1"/>
  </si>
  <si>
    <r>
      <rPr>
        <sz val="12"/>
        <color theme="1"/>
        <rFont val="BIZ UDPゴシック"/>
        <family val="3"/>
        <charset val="128"/>
      </rPr>
      <t>6歳以下基準日時点の年齢</t>
    </r>
    <r>
      <rPr>
        <sz val="14"/>
        <color theme="1"/>
        <rFont val="ＭＳ Ｐゴシック"/>
        <family val="3"/>
        <charset val="128"/>
        <scheme val="minor"/>
      </rPr>
      <t/>
    </r>
    <rPh sb="1" eb="2">
      <t>サイ</t>
    </rPh>
    <rPh sb="2" eb="4">
      <t>イカ</t>
    </rPh>
    <rPh sb="4" eb="7">
      <t>キジュンビ</t>
    </rPh>
    <phoneticPr fontId="1"/>
  </si>
  <si>
    <r>
      <rPr>
        <sz val="12"/>
        <color theme="1"/>
        <rFont val="BIZ UDPゴシック"/>
        <family val="3"/>
        <charset val="128"/>
      </rPr>
      <t xml:space="preserve">均等割
</t>
    </r>
    <r>
      <rPr>
        <sz val="11"/>
        <color theme="1"/>
        <rFont val="BIZ UDPゴシック"/>
        <family val="3"/>
        <charset val="128"/>
      </rPr>
      <t>（子ども
軽減後）</t>
    </r>
    <rPh sb="0" eb="3">
      <t>キントウワリ</t>
    </rPh>
    <rPh sb="5" eb="6">
      <t>コ</t>
    </rPh>
    <rPh sb="9" eb="11">
      <t>ケイゲン</t>
    </rPh>
    <rPh sb="11" eb="12">
      <t>ゴ</t>
    </rPh>
    <phoneticPr fontId="1"/>
  </si>
  <si>
    <r>
      <t>※⑤所得金額調整控除</t>
    </r>
    <r>
      <rPr>
        <sz val="10"/>
        <color theme="1"/>
        <rFont val="BIZ UDPゴシック"/>
        <family val="3"/>
        <charset val="128"/>
      </rPr>
      <t>(子ども・特別障がい者等を有する者等)</t>
    </r>
    <rPh sb="2" eb="4">
      <t>ショトク</t>
    </rPh>
    <rPh sb="4" eb="6">
      <t>キンガク</t>
    </rPh>
    <rPh sb="6" eb="8">
      <t>チョウセイ</t>
    </rPh>
    <rPh sb="8" eb="10">
      <t>コウジョ</t>
    </rPh>
    <rPh sb="11" eb="12">
      <t>コ</t>
    </rPh>
    <rPh sb="15" eb="17">
      <t>トクベツ</t>
    </rPh>
    <rPh sb="17" eb="18">
      <t>ショウ</t>
    </rPh>
    <rPh sb="20" eb="21">
      <t>シャ</t>
    </rPh>
    <rPh sb="21" eb="22">
      <t>トウ</t>
    </rPh>
    <rPh sb="23" eb="24">
      <t>ユウ</t>
    </rPh>
    <rPh sb="26" eb="27">
      <t>モノ</t>
    </rPh>
    <rPh sb="27" eb="28">
      <t>トウ</t>
    </rPh>
    <phoneticPr fontId="1"/>
  </si>
  <si>
    <r>
      <t>パラメータ（</t>
    </r>
    <r>
      <rPr>
        <b/>
        <sz val="11"/>
        <color theme="1"/>
        <rFont val="BIZ UDPゴシック"/>
        <family val="3"/>
        <charset val="128"/>
      </rPr>
      <t>子ども・特別障がい者等</t>
    </r>
    <r>
      <rPr>
        <sz val="11"/>
        <color theme="1"/>
        <rFont val="BIZ UDPゴシック"/>
        <family val="3"/>
        <charset val="128"/>
      </rPr>
      <t>調整控除有）</t>
    </r>
    <rPh sb="6" eb="7">
      <t>コ</t>
    </rPh>
    <rPh sb="10" eb="12">
      <t>トクベツ</t>
    </rPh>
    <rPh sb="12" eb="13">
      <t>ショウ</t>
    </rPh>
    <rPh sb="15" eb="16">
      <t>モノ</t>
    </rPh>
    <rPh sb="16" eb="17">
      <t>トウ</t>
    </rPh>
    <rPh sb="17" eb="19">
      <t>チョウセイ</t>
    </rPh>
    <rPh sb="19" eb="21">
      <t>コウジョ</t>
    </rPh>
    <rPh sb="21" eb="22">
      <t>アリ</t>
    </rPh>
    <phoneticPr fontId="2"/>
  </si>
  <si>
    <t>⑥年金収入</t>
    <phoneticPr fontId="1"/>
  </si>
  <si>
    <t>★一定の所得以下の世帯に対して、均等割額・平等割額を軽減する制度があります。こちらの試算シートには反映していません。</t>
    <rPh sb="1" eb="3">
      <t>イッテイ</t>
    </rPh>
    <rPh sb="4" eb="6">
      <t>ショトク</t>
    </rPh>
    <rPh sb="6" eb="8">
      <t>イカ</t>
    </rPh>
    <rPh sb="9" eb="11">
      <t>セタイ</t>
    </rPh>
    <rPh sb="12" eb="13">
      <t>タイ</t>
    </rPh>
    <rPh sb="16" eb="19">
      <t>キントウワリ</t>
    </rPh>
    <rPh sb="19" eb="20">
      <t>ガク</t>
    </rPh>
    <rPh sb="21" eb="23">
      <t>ビョウドウ</t>
    </rPh>
    <rPh sb="23" eb="24">
      <t>ワリ</t>
    </rPh>
    <rPh sb="24" eb="25">
      <t>ガク</t>
    </rPh>
    <rPh sb="26" eb="28">
      <t>ケイゲン</t>
    </rPh>
    <rPh sb="30" eb="32">
      <t>セイド</t>
    </rPh>
    <rPh sb="42" eb="44">
      <t>シサン</t>
    </rPh>
    <rPh sb="49" eb="51">
      <t>ハンエイ</t>
    </rPh>
    <phoneticPr fontId="2"/>
  </si>
  <si>
    <t>★会社の倒産・解雇などによる離職（特定受給資格者）や雇い止めなどによる離職（特定理由離職者）により、職場の健康保険等を脱退し、　
   雇用保険を受給される方に対する軽減制度があります。</t>
    <rPh sb="1" eb="3">
      <t>カイシャ</t>
    </rPh>
    <rPh sb="4" eb="6">
      <t>トウサン</t>
    </rPh>
    <rPh sb="7" eb="9">
      <t>カイコ</t>
    </rPh>
    <rPh sb="14" eb="16">
      <t>リショク</t>
    </rPh>
    <rPh sb="17" eb="19">
      <t>トクテイ</t>
    </rPh>
    <rPh sb="19" eb="21">
      <t>ジュキュウ</t>
    </rPh>
    <rPh sb="21" eb="24">
      <t>シカクシャ</t>
    </rPh>
    <phoneticPr fontId="2"/>
  </si>
  <si>
    <t>https://www.city.fukushima.fukushima.jp/kokuho-shikaku/kurashi/kokuho/hokenkyufu/sedo/1061.html</t>
    <phoneticPr fontId="1"/>
  </si>
  <si>
    <t>https://www.city.fukushima.fukushima.jp/kokuho-shikaku/kurashi/kokuho/hokenkyufu/sedo/gennmenn/syotoku.html</t>
    <phoneticPr fontId="1"/>
  </si>
  <si>
    <t xml:space="preserve">  詳しくは・・・福島市役所ホームページ：　ホーム＞くらし・手続き＞国保・年金・後期高齢＞国民健康保険＞保険税の減免＞低所得世帯に対する軽減</t>
    <phoneticPr fontId="1"/>
  </si>
  <si>
    <t xml:space="preserve">  詳しくは・・・福島市役所ホームページ：
  ホーム＞くらし・手続き＞国保・年金・後期高齢＞国民健康保険＞保険税の減免＞国民健康保険に加入し雇用保険を受給される方へ（非自発的失業者に係る軽減措置）</t>
    <rPh sb="61" eb="67">
      <t>コクミンケンコウホケン</t>
    </rPh>
    <rPh sb="68" eb="70">
      <t>カニュウ</t>
    </rPh>
    <rPh sb="71" eb="75">
      <t>コヨウホケン</t>
    </rPh>
    <rPh sb="76" eb="78">
      <t>ジュキュウ</t>
    </rPh>
    <rPh sb="81" eb="82">
      <t>カタ</t>
    </rPh>
    <rPh sb="84" eb="88">
      <t>ヒジハツテキ</t>
    </rPh>
    <rPh sb="88" eb="90">
      <t>シツギョウ</t>
    </rPh>
    <rPh sb="90" eb="91">
      <t>シャ</t>
    </rPh>
    <rPh sb="92" eb="93">
      <t>カカ</t>
    </rPh>
    <rPh sb="94" eb="96">
      <t>ケイゲン</t>
    </rPh>
    <rPh sb="96" eb="98">
      <t>ソチ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</si>
</sst>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_ "/>
    <numFmt numFmtId="179" formatCode="#,##0.000_);[Red]\(#,##0.000\)"/>
    <numFmt numFmtId="180" formatCode="[$-411]ggge&quot;年&quot;m&quot;月&quot;d&quot;日&quot;;@"/>
    <numFmt numFmtId="181" formatCode="0.00_);[Red]\(0.00\)"/>
    <numFmt numFmtId="182" formatCode="#,##0.000_ "/>
    <numFmt numFmtId="183" formatCode="[$-411]ge\.m\.d;@"/>
  </numFmts>
  <fonts count="46">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2"/>
      <charset val="128"/>
      <scheme val="minor"/>
    </font>
    <font>
      <b/>
      <sz val="11"/>
      <color theme="1"/>
      <name val="ＭＳ Ｐゴシック"/>
      <family val="3"/>
      <charset val="128"/>
      <scheme val="minor"/>
    </font>
    <font>
      <b/>
      <sz val="18"/>
      <color theme="1"/>
      <name val="HG創英角ﾎﾟｯﾌﾟ体"/>
      <family val="3"/>
      <charset val="128"/>
    </font>
    <font>
      <b/>
      <sz val="9"/>
      <color indexed="81"/>
      <name val="ＭＳ Ｐゴシック"/>
      <family val="3"/>
      <charset val="128"/>
    </font>
    <font>
      <u/>
      <sz val="11"/>
      <color theme="10"/>
      <name val="ＭＳ Ｐゴシック"/>
      <family val="2"/>
      <charset val="128"/>
      <scheme val="minor"/>
    </font>
    <font>
      <b/>
      <sz val="10"/>
      <color rgb="FF000000"/>
      <name val="ＭＳ Ｐゴシック"/>
      <family val="3"/>
      <charset val="128"/>
      <scheme val="minor"/>
    </font>
    <font>
      <b/>
      <sz val="11"/>
      <color rgb="FF000000"/>
      <name val="ＭＳ Ｐゴシック"/>
      <family val="3"/>
      <charset val="128"/>
      <scheme val="minor"/>
    </font>
    <font>
      <sz val="18"/>
      <color theme="1"/>
      <name val="ＭＳ Ｐゴシック"/>
      <family val="2"/>
      <charset val="128"/>
      <scheme val="minor"/>
    </font>
    <font>
      <b/>
      <sz val="12"/>
      <color theme="0"/>
      <name val="ＭＳ Ｐゴシック"/>
      <family val="3"/>
      <charset val="128"/>
      <scheme val="minor"/>
    </font>
    <font>
      <b/>
      <sz val="20"/>
      <color theme="1"/>
      <name val="ＭＳ Ｐゴシック"/>
      <family val="3"/>
      <charset val="128"/>
      <scheme val="minor"/>
    </font>
    <font>
      <b/>
      <u/>
      <sz val="11"/>
      <color rgb="FF1F497D"/>
      <name val="ＭＳ 明朝"/>
      <family val="1"/>
      <charset val="128"/>
    </font>
    <font>
      <sz val="14"/>
      <color theme="1"/>
      <name val="ＭＳ Ｐゴシック"/>
      <family val="3"/>
      <charset val="128"/>
      <scheme val="minor"/>
    </font>
    <font>
      <b/>
      <sz val="14"/>
      <color rgb="FF002060"/>
      <name val="ＭＳ Ｐゴシック"/>
      <family val="3"/>
      <charset val="128"/>
      <scheme val="minor"/>
    </font>
    <font>
      <sz val="11"/>
      <color rgb="FF002060"/>
      <name val="ＭＳ Ｐゴシック"/>
      <family val="3"/>
      <charset val="128"/>
      <scheme val="minor"/>
    </font>
    <font>
      <sz val="14"/>
      <color theme="1"/>
      <name val="ＭＳ ゴシック"/>
      <family val="3"/>
      <charset val="128"/>
    </font>
    <font>
      <sz val="11"/>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b/>
      <sz val="20"/>
      <color indexed="81"/>
      <name val="ＭＳ Ｐゴシック"/>
      <family val="3"/>
      <charset val="128"/>
    </font>
    <font>
      <b/>
      <sz val="16"/>
      <color indexed="81"/>
      <name val="ＭＳ Ｐゴシック"/>
      <family val="3"/>
      <charset val="128"/>
    </font>
    <font>
      <b/>
      <sz val="18"/>
      <color indexed="81"/>
      <name val="MS P ゴシック"/>
      <family val="3"/>
      <charset val="128"/>
    </font>
    <font>
      <sz val="11"/>
      <color theme="1"/>
      <name val="BIZ UDPゴシック"/>
      <family val="3"/>
      <charset val="128"/>
    </font>
    <font>
      <b/>
      <sz val="11"/>
      <color theme="1"/>
      <name val="BIZ UDPゴシック"/>
      <family val="3"/>
      <charset val="128"/>
    </font>
    <font>
      <b/>
      <sz val="18"/>
      <color theme="1"/>
      <name val="BIZ UDPゴシック"/>
      <family val="3"/>
      <charset val="128"/>
    </font>
    <font>
      <b/>
      <sz val="11"/>
      <color rgb="FF000000"/>
      <name val="BIZ UDPゴシック"/>
      <family val="3"/>
      <charset val="128"/>
    </font>
    <font>
      <b/>
      <sz val="10"/>
      <color rgb="FF000000"/>
      <name val="BIZ UDPゴシック"/>
      <family val="3"/>
      <charset val="128"/>
    </font>
    <font>
      <sz val="14"/>
      <color theme="1"/>
      <name val="BIZ UDPゴシック"/>
      <family val="3"/>
      <charset val="128"/>
    </font>
    <font>
      <sz val="12"/>
      <color theme="1"/>
      <name val="BIZ UDPゴシック"/>
      <family val="3"/>
      <charset val="128"/>
    </font>
    <font>
      <sz val="14"/>
      <name val="BIZ UDPゴシック"/>
      <family val="3"/>
      <charset val="128"/>
    </font>
    <font>
      <sz val="13"/>
      <color theme="1"/>
      <name val="BIZ UDPゴシック"/>
      <family val="3"/>
      <charset val="128"/>
    </font>
    <font>
      <sz val="10"/>
      <color theme="1"/>
      <name val="BIZ UDPゴシック"/>
      <family val="3"/>
      <charset val="128"/>
    </font>
    <font>
      <sz val="10.5"/>
      <color theme="1"/>
      <name val="BIZ UDPゴシック"/>
      <family val="3"/>
      <charset val="128"/>
    </font>
    <font>
      <sz val="11"/>
      <name val="BIZ UDPゴシック"/>
      <family val="3"/>
      <charset val="128"/>
    </font>
    <font>
      <sz val="12"/>
      <name val="BIZ UDPゴシック"/>
      <family val="3"/>
      <charset val="128"/>
    </font>
    <font>
      <sz val="16"/>
      <color theme="1"/>
      <name val="BIZ UDPゴシック"/>
      <family val="3"/>
      <charset val="128"/>
    </font>
    <font>
      <sz val="18"/>
      <color theme="1"/>
      <name val="BIZ UDPゴシック"/>
      <family val="3"/>
      <charset val="128"/>
    </font>
    <font>
      <b/>
      <sz val="14"/>
      <color theme="1"/>
      <name val="BIZ UDPゴシック"/>
      <family val="3"/>
      <charset val="128"/>
    </font>
    <font>
      <b/>
      <sz val="16"/>
      <color theme="1"/>
      <name val="BIZ UDPゴシック"/>
      <family val="3"/>
      <charset val="128"/>
    </font>
    <font>
      <b/>
      <sz val="15"/>
      <color theme="1"/>
      <name val="BIZ UDPゴシック"/>
      <family val="3"/>
      <charset val="128"/>
    </font>
    <font>
      <b/>
      <sz val="12"/>
      <color theme="1"/>
      <name val="BIZ UDPゴシック"/>
      <family val="3"/>
      <charset val="128"/>
    </font>
    <font>
      <sz val="11"/>
      <color rgb="FFFF0000"/>
      <name val="BIZ UDPゴシック"/>
      <family val="3"/>
      <charset val="128"/>
    </font>
    <font>
      <u/>
      <sz val="10"/>
      <color theme="10"/>
      <name val="BIZ UDPゴシック"/>
      <family val="3"/>
      <charset val="128"/>
    </font>
  </fonts>
  <fills count="8">
    <fill>
      <patternFill patternType="none"/>
    </fill>
    <fill>
      <patternFill patternType="gray125"/>
    </fill>
    <fill>
      <patternFill patternType="solid">
        <fgColor rgb="FFFFFF00"/>
        <bgColor indexed="64"/>
      </patternFill>
    </fill>
    <fill>
      <patternFill patternType="solid">
        <fgColor indexed="41"/>
        <bgColor indexed="64"/>
      </patternFill>
    </fill>
    <fill>
      <patternFill patternType="solid">
        <fgColor rgb="FFCCFFFF"/>
        <bgColor indexed="64"/>
      </patternFill>
    </fill>
    <fill>
      <patternFill patternType="solid">
        <fgColor rgb="FF99FF99"/>
        <bgColor indexed="64"/>
      </patternFill>
    </fill>
    <fill>
      <patternFill patternType="solid">
        <fgColor theme="0"/>
        <bgColor indexed="64"/>
      </patternFill>
    </fill>
    <fill>
      <patternFill patternType="solid">
        <fgColor rgb="FFFFFFCC"/>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dotted">
        <color indexed="64"/>
      </left>
      <right style="dotted">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bottom/>
      <diagonal/>
    </border>
    <border>
      <left/>
      <right style="medium">
        <color indexed="64"/>
      </right>
      <top/>
      <bottom/>
      <diagonal/>
    </border>
    <border>
      <left style="thin">
        <color indexed="64"/>
      </left>
      <right/>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420">
    <xf numFmtId="0" fontId="0" fillId="0" borderId="0" xfId="0">
      <alignment vertical="center"/>
    </xf>
    <xf numFmtId="0" fontId="4" fillId="0" borderId="0" xfId="0" applyFont="1">
      <alignment vertical="center"/>
    </xf>
    <xf numFmtId="0" fontId="4" fillId="0" borderId="0" xfId="0" applyFont="1" applyBorder="1" applyAlignment="1">
      <alignment vertical="center"/>
    </xf>
    <xf numFmtId="0" fontId="5" fillId="0" borderId="0" xfId="0" applyFont="1"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0" xfId="0" applyFont="1" applyAlignment="1">
      <alignment horizontal="left" vertical="center"/>
    </xf>
    <xf numFmtId="0" fontId="4" fillId="0" borderId="0" xfId="0" applyFont="1" applyAlignment="1">
      <alignment vertical="center"/>
    </xf>
    <xf numFmtId="0" fontId="9" fillId="0" borderId="0" xfId="0" applyFont="1" applyAlignment="1">
      <alignment horizontal="left" vertical="center"/>
    </xf>
    <xf numFmtId="0" fontId="0" fillId="0" borderId="0" xfId="0" applyFill="1">
      <alignment vertical="center"/>
    </xf>
    <xf numFmtId="0" fontId="0" fillId="6" borderId="0" xfId="0" applyFill="1">
      <alignment vertical="center"/>
    </xf>
    <xf numFmtId="0" fontId="10" fillId="6" borderId="0" xfId="0" applyFont="1" applyFill="1">
      <alignment vertical="center"/>
    </xf>
    <xf numFmtId="0" fontId="4" fillId="6" borderId="0" xfId="0" applyFont="1" applyFill="1">
      <alignment vertical="center"/>
    </xf>
    <xf numFmtId="0" fontId="11" fillId="6" borderId="0" xfId="0" applyFont="1" applyFill="1" applyAlignment="1">
      <alignment vertical="center"/>
    </xf>
    <xf numFmtId="0" fontId="0" fillId="2" borderId="0" xfId="0" applyFill="1">
      <alignment vertical="center"/>
    </xf>
    <xf numFmtId="0" fontId="12" fillId="6" borderId="0" xfId="0" applyFont="1" applyFill="1">
      <alignment vertical="center"/>
    </xf>
    <xf numFmtId="0" fontId="13" fillId="0" borderId="0" xfId="0" applyFont="1" applyFill="1" applyAlignment="1">
      <alignment horizontal="left" vertical="center"/>
    </xf>
    <xf numFmtId="0" fontId="15" fillId="6" borderId="0" xfId="0" applyFont="1" applyFill="1">
      <alignment vertical="center"/>
    </xf>
    <xf numFmtId="0" fontId="16" fillId="6" borderId="0" xfId="0" applyFont="1" applyFill="1">
      <alignment vertical="center"/>
    </xf>
    <xf numFmtId="0" fontId="18" fillId="7" borderId="46" xfId="0" applyFont="1" applyFill="1" applyBorder="1" applyAlignment="1">
      <alignment horizontal="center" vertical="center"/>
    </xf>
    <xf numFmtId="0" fontId="20" fillId="7" borderId="47" xfId="0" applyFont="1" applyFill="1" applyBorder="1" applyAlignment="1">
      <alignment horizontal="center" vertical="top"/>
    </xf>
    <xf numFmtId="0" fontId="21" fillId="7" borderId="59" xfId="0" applyFont="1" applyFill="1" applyBorder="1" applyAlignment="1">
      <alignment horizontal="center" vertical="top"/>
    </xf>
    <xf numFmtId="0" fontId="25" fillId="0" borderId="0" xfId="0" applyFont="1">
      <alignment vertical="center"/>
    </xf>
    <xf numFmtId="0" fontId="26" fillId="0" borderId="0" xfId="0" applyFont="1">
      <alignment vertical="center"/>
    </xf>
    <xf numFmtId="0" fontId="27" fillId="0" borderId="0" xfId="0" applyFont="1" applyAlignment="1">
      <alignment horizontal="center" vertical="center"/>
    </xf>
    <xf numFmtId="0" fontId="26" fillId="0" borderId="0" xfId="0" applyFont="1" applyBorder="1" applyAlignment="1">
      <alignment vertical="center"/>
    </xf>
    <xf numFmtId="0" fontId="25" fillId="0" borderId="0" xfId="0" applyFont="1" applyFill="1" applyBorder="1" applyAlignment="1">
      <alignment horizontal="center" vertical="center"/>
    </xf>
    <xf numFmtId="176" fontId="25" fillId="0" borderId="0" xfId="0" applyNumberFormat="1" applyFont="1" applyFill="1" applyBorder="1">
      <alignment vertical="center"/>
    </xf>
    <xf numFmtId="0" fontId="28" fillId="0" borderId="0" xfId="0" applyFont="1" applyAlignment="1">
      <alignment horizontal="left" vertical="center"/>
    </xf>
    <xf numFmtId="0" fontId="26" fillId="0" borderId="0" xfId="0" applyFont="1" applyAlignment="1">
      <alignment vertical="center"/>
    </xf>
    <xf numFmtId="0" fontId="29" fillId="0" borderId="0" xfId="0" applyFont="1" applyAlignment="1">
      <alignment horizontal="left" vertical="center"/>
    </xf>
    <xf numFmtId="0" fontId="25" fillId="0" borderId="0" xfId="0" applyFont="1" applyAlignment="1">
      <alignment vertical="center"/>
    </xf>
    <xf numFmtId="0" fontId="25" fillId="0" borderId="0" xfId="0" applyFont="1" applyBorder="1" applyAlignment="1">
      <alignment vertical="center"/>
    </xf>
    <xf numFmtId="0" fontId="25" fillId="2" borderId="2" xfId="0" applyFont="1" applyFill="1" applyBorder="1">
      <alignment vertical="center"/>
    </xf>
    <xf numFmtId="0" fontId="25" fillId="0" borderId="1" xfId="0" applyFont="1" applyBorder="1">
      <alignment vertical="center"/>
    </xf>
    <xf numFmtId="0" fontId="25" fillId="0" borderId="1" xfId="0" applyFont="1" applyBorder="1" applyAlignment="1">
      <alignment vertical="center" wrapText="1"/>
    </xf>
    <xf numFmtId="0" fontId="25" fillId="6" borderId="0" xfId="0" applyFont="1" applyFill="1" applyAlignment="1">
      <alignment horizontal="center" vertical="center"/>
    </xf>
    <xf numFmtId="0" fontId="25" fillId="0" borderId="1" xfId="0" applyFont="1" applyBorder="1" applyAlignment="1">
      <alignment horizontal="center" vertical="center"/>
    </xf>
    <xf numFmtId="178" fontId="25" fillId="0" borderId="1" xfId="0" applyNumberFormat="1" applyFont="1" applyBorder="1">
      <alignment vertical="center"/>
    </xf>
    <xf numFmtId="0" fontId="25" fillId="0" borderId="1" xfId="0" applyNumberFormat="1" applyFont="1" applyBorder="1">
      <alignment vertical="center"/>
    </xf>
    <xf numFmtId="183" fontId="25" fillId="0" borderId="0" xfId="0" applyNumberFormat="1" applyFont="1">
      <alignment vertical="center"/>
    </xf>
    <xf numFmtId="0" fontId="25" fillId="0" borderId="0" xfId="0" applyFont="1" applyAlignment="1">
      <alignment horizontal="right" vertical="center"/>
    </xf>
    <xf numFmtId="0" fontId="25" fillId="0" borderId="15" xfId="0" applyFont="1" applyBorder="1">
      <alignment vertical="center"/>
    </xf>
    <xf numFmtId="0" fontId="25" fillId="0" borderId="0" xfId="0" applyFont="1" applyBorder="1">
      <alignment vertical="center"/>
    </xf>
    <xf numFmtId="0" fontId="30" fillId="0" borderId="0" xfId="0" applyFont="1" applyBorder="1" applyAlignment="1">
      <alignment horizontal="left" vertical="center"/>
    </xf>
    <xf numFmtId="177" fontId="30" fillId="0" borderId="1" xfId="0" applyNumberFormat="1" applyFont="1" applyBorder="1" applyAlignment="1">
      <alignment vertical="center"/>
    </xf>
    <xf numFmtId="177" fontId="30" fillId="0" borderId="2" xfId="0" applyNumberFormat="1" applyFont="1" applyBorder="1" applyAlignment="1">
      <alignment vertical="center"/>
    </xf>
    <xf numFmtId="177" fontId="30" fillId="0" borderId="3" xfId="0" applyNumberFormat="1" applyFont="1" applyBorder="1" applyAlignment="1">
      <alignment vertical="center"/>
    </xf>
    <xf numFmtId="0" fontId="30" fillId="0" borderId="2" xfId="0" applyFont="1" applyBorder="1" applyAlignment="1">
      <alignment horizontal="center" vertical="center"/>
    </xf>
    <xf numFmtId="0" fontId="30" fillId="0" borderId="2" xfId="0" applyFont="1" applyBorder="1" applyAlignment="1">
      <alignment horizontal="center" vertical="center" wrapText="1"/>
    </xf>
    <xf numFmtId="58" fontId="25" fillId="0" borderId="2" xfId="0" applyNumberFormat="1" applyFont="1" applyBorder="1" applyAlignment="1">
      <alignment horizontal="center" vertical="center" wrapText="1"/>
    </xf>
    <xf numFmtId="58" fontId="30" fillId="0" borderId="2" xfId="0" applyNumberFormat="1" applyFont="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0" borderId="1" xfId="0" applyFont="1" applyBorder="1" applyAlignment="1">
      <alignment horizontal="center" vertical="center" wrapText="1"/>
    </xf>
    <xf numFmtId="0" fontId="31" fillId="5" borderId="1" xfId="0" applyFont="1" applyFill="1" applyBorder="1">
      <alignment vertical="center"/>
    </xf>
    <xf numFmtId="0" fontId="30" fillId="5" borderId="1" xfId="0" applyFont="1" applyFill="1" applyBorder="1" applyAlignment="1">
      <alignment horizontal="center" vertical="center" wrapText="1"/>
    </xf>
    <xf numFmtId="49" fontId="30" fillId="5" borderId="1" xfId="0" applyNumberFormat="1" applyFont="1" applyFill="1" applyBorder="1" applyAlignment="1">
      <alignment horizontal="center" vertical="center" wrapText="1"/>
    </xf>
    <xf numFmtId="0" fontId="32" fillId="5" borderId="2" xfId="0" applyFont="1" applyFill="1" applyBorder="1" applyAlignment="1">
      <alignment horizontal="center" vertical="center" wrapText="1"/>
    </xf>
    <xf numFmtId="0" fontId="32" fillId="5" borderId="1" xfId="0" applyFont="1" applyFill="1" applyBorder="1" applyAlignment="1">
      <alignment horizontal="center" vertical="center" wrapText="1"/>
    </xf>
    <xf numFmtId="176" fontId="25" fillId="0" borderId="26" xfId="0" applyNumberFormat="1" applyFont="1" applyBorder="1" applyAlignment="1">
      <alignment vertical="center" wrapText="1"/>
    </xf>
    <xf numFmtId="0" fontId="25" fillId="0" borderId="26" xfId="0" applyFont="1" applyBorder="1" applyAlignment="1">
      <alignment vertical="center" wrapText="1"/>
    </xf>
    <xf numFmtId="0" fontId="25" fillId="0" borderId="0" xfId="0" applyFont="1" applyBorder="1" applyAlignment="1">
      <alignment horizontal="center" vertical="center"/>
    </xf>
    <xf numFmtId="0" fontId="33" fillId="5" borderId="1" xfId="0" applyFont="1" applyFill="1" applyBorder="1" applyAlignment="1">
      <alignment horizontal="center" vertical="center"/>
    </xf>
    <xf numFmtId="176" fontId="25" fillId="5" borderId="1" xfId="0" applyNumberFormat="1" applyFont="1" applyFill="1" applyBorder="1" applyAlignment="1">
      <alignment vertical="center"/>
    </xf>
    <xf numFmtId="176" fontId="25" fillId="5" borderId="2" xfId="0" applyNumberFormat="1" applyFont="1" applyFill="1" applyBorder="1" applyAlignment="1">
      <alignment horizontal="right" vertical="center"/>
    </xf>
    <xf numFmtId="0" fontId="25" fillId="0" borderId="69" xfId="0" applyFont="1" applyBorder="1" applyAlignment="1">
      <alignment horizontal="center" vertical="center" wrapText="1"/>
    </xf>
    <xf numFmtId="0" fontId="25" fillId="0" borderId="56" xfId="0" applyFont="1" applyBorder="1" applyAlignment="1">
      <alignment vertical="center"/>
    </xf>
    <xf numFmtId="176" fontId="25" fillId="0" borderId="33" xfId="0" applyNumberFormat="1" applyFont="1" applyBorder="1" applyAlignment="1">
      <alignment vertical="center" wrapText="1"/>
    </xf>
    <xf numFmtId="0" fontId="25" fillId="0" borderId="40" xfId="0" applyFont="1" applyBorder="1" applyAlignment="1">
      <alignment horizontal="center" vertical="center" wrapText="1"/>
    </xf>
    <xf numFmtId="0" fontId="25" fillId="0" borderId="46" xfId="0" applyFont="1" applyBorder="1" applyAlignment="1">
      <alignment vertical="center"/>
    </xf>
    <xf numFmtId="0" fontId="25" fillId="0" borderId="33" xfId="0" applyFont="1" applyBorder="1">
      <alignment vertical="center"/>
    </xf>
    <xf numFmtId="0" fontId="25" fillId="0" borderId="46" xfId="0" applyFont="1" applyBorder="1" applyAlignment="1">
      <alignment horizontal="center" vertical="center"/>
    </xf>
    <xf numFmtId="0" fontId="25" fillId="0" borderId="45" xfId="0" applyFont="1" applyBorder="1" applyAlignment="1">
      <alignment horizontal="center" vertical="center" wrapText="1"/>
    </xf>
    <xf numFmtId="0" fontId="34" fillId="0" borderId="46" xfId="0" applyFont="1" applyFill="1" applyBorder="1" applyAlignment="1">
      <alignment horizontal="center" vertical="center" wrapText="1"/>
    </xf>
    <xf numFmtId="0" fontId="25" fillId="0" borderId="0" xfId="0" applyFont="1" applyFill="1" applyBorder="1">
      <alignment vertical="center"/>
    </xf>
    <xf numFmtId="0" fontId="25" fillId="6" borderId="0" xfId="0" applyFont="1" applyFill="1" applyBorder="1">
      <alignment vertical="center"/>
    </xf>
    <xf numFmtId="0" fontId="25" fillId="6" borderId="0" xfId="0" applyFont="1" applyFill="1">
      <alignment vertical="center"/>
    </xf>
    <xf numFmtId="0" fontId="25" fillId="0" borderId="68" xfId="0" applyFont="1" applyBorder="1" applyAlignment="1">
      <alignment horizontal="center" vertical="center" wrapText="1"/>
    </xf>
    <xf numFmtId="176" fontId="25" fillId="0" borderId="19" xfId="0" applyNumberFormat="1" applyFont="1" applyBorder="1" applyAlignment="1">
      <alignment vertical="center"/>
    </xf>
    <xf numFmtId="176" fontId="25" fillId="0" borderId="47" xfId="0" applyNumberFormat="1" applyFont="1" applyBorder="1">
      <alignment vertical="center"/>
    </xf>
    <xf numFmtId="0" fontId="25" fillId="0" borderId="47" xfId="0" applyFont="1" applyBorder="1">
      <alignment vertical="center"/>
    </xf>
    <xf numFmtId="0" fontId="25" fillId="0" borderId="63" xfId="0" applyFont="1" applyBorder="1" applyAlignment="1">
      <alignment horizontal="center" vertical="center" wrapText="1"/>
    </xf>
    <xf numFmtId="176" fontId="25" fillId="0" borderId="63" xfId="0" applyNumberFormat="1" applyFont="1" applyBorder="1" applyAlignment="1">
      <alignment vertical="center"/>
    </xf>
    <xf numFmtId="176" fontId="25" fillId="0" borderId="34" xfId="0" applyNumberFormat="1" applyFont="1" applyBorder="1">
      <alignment vertical="center"/>
    </xf>
    <xf numFmtId="0" fontId="25" fillId="0" borderId="34" xfId="0" applyFont="1" applyBorder="1">
      <alignment vertical="center"/>
    </xf>
    <xf numFmtId="12" fontId="25" fillId="0" borderId="28" xfId="0" applyNumberFormat="1" applyFont="1" applyBorder="1" applyAlignment="1">
      <alignment horizontal="right" vertical="center"/>
    </xf>
    <xf numFmtId="0" fontId="25" fillId="2" borderId="45" xfId="0" applyFont="1" applyFill="1" applyBorder="1">
      <alignment vertical="center"/>
    </xf>
    <xf numFmtId="0" fontId="25" fillId="6" borderId="8" xfId="0" applyFont="1" applyFill="1" applyBorder="1">
      <alignment vertical="center"/>
    </xf>
    <xf numFmtId="0" fontId="31" fillId="6" borderId="46" xfId="0" applyFont="1" applyFill="1" applyBorder="1" applyAlignment="1">
      <alignment horizontal="center" vertical="center"/>
    </xf>
    <xf numFmtId="0" fontId="31" fillId="6" borderId="69" xfId="0" applyFont="1" applyFill="1" applyBorder="1" applyAlignment="1">
      <alignment horizontal="center" vertical="center"/>
    </xf>
    <xf numFmtId="0" fontId="31" fillId="0" borderId="55" xfId="0" applyFont="1" applyBorder="1" applyAlignment="1">
      <alignment vertical="center" wrapText="1"/>
    </xf>
    <xf numFmtId="0" fontId="31" fillId="6" borderId="55" xfId="0" applyFont="1" applyFill="1" applyBorder="1" applyAlignment="1">
      <alignment horizontal="center" vertical="center"/>
    </xf>
    <xf numFmtId="0" fontId="31" fillId="6" borderId="46" xfId="0" applyFont="1" applyFill="1" applyBorder="1" applyAlignment="1">
      <alignment horizontal="center" vertical="center" wrapText="1"/>
    </xf>
    <xf numFmtId="0" fontId="31" fillId="6" borderId="31" xfId="0" applyFont="1" applyFill="1" applyBorder="1" applyAlignment="1">
      <alignment horizontal="center" vertical="center" wrapText="1"/>
    </xf>
    <xf numFmtId="0" fontId="31" fillId="6" borderId="39" xfId="0" applyFont="1" applyFill="1" applyBorder="1" applyAlignment="1">
      <alignment horizontal="center" vertical="center"/>
    </xf>
    <xf numFmtId="0" fontId="31" fillId="6" borderId="25" xfId="0" applyFont="1" applyFill="1" applyBorder="1" applyAlignment="1">
      <alignment horizontal="center" vertical="center"/>
    </xf>
    <xf numFmtId="0" fontId="25" fillId="0" borderId="48" xfId="0" applyFont="1" applyBorder="1">
      <alignment vertical="center"/>
    </xf>
    <xf numFmtId="0" fontId="33" fillId="0" borderId="1" xfId="0" applyFont="1" applyBorder="1" applyAlignment="1">
      <alignment horizontal="center" vertical="center"/>
    </xf>
    <xf numFmtId="0" fontId="33" fillId="0" borderId="12" xfId="0" applyFont="1" applyBorder="1" applyAlignment="1">
      <alignment horizontal="center" vertical="center"/>
    </xf>
    <xf numFmtId="0" fontId="25" fillId="0" borderId="7" xfId="0" applyFont="1" applyBorder="1" applyAlignment="1">
      <alignment horizontal="center" vertical="center" wrapText="1"/>
    </xf>
    <xf numFmtId="176" fontId="25" fillId="0" borderId="2" xfId="0" applyNumberFormat="1" applyFont="1" applyBorder="1" applyAlignment="1">
      <alignment vertical="center"/>
    </xf>
    <xf numFmtId="0" fontId="25" fillId="0" borderId="42" xfId="0" applyFont="1" applyBorder="1" applyAlignment="1">
      <alignment horizontal="center" vertical="center" wrapText="1"/>
    </xf>
    <xf numFmtId="176" fontId="25" fillId="0" borderId="42" xfId="0" applyNumberFormat="1" applyFont="1" applyBorder="1" applyAlignment="1">
      <alignment vertical="center"/>
    </xf>
    <xf numFmtId="12" fontId="25" fillId="0" borderId="36" xfId="0" applyNumberFormat="1" applyFont="1" applyBorder="1" applyAlignment="1">
      <alignment horizontal="right" vertical="center"/>
    </xf>
    <xf numFmtId="0" fontId="25" fillId="6" borderId="8" xfId="0" applyFont="1" applyFill="1" applyBorder="1" applyAlignment="1">
      <alignment horizontal="center" vertical="center"/>
    </xf>
    <xf numFmtId="49" fontId="25" fillId="2" borderId="73" xfId="0" applyNumberFormat="1" applyFont="1" applyFill="1" applyBorder="1" applyAlignment="1" applyProtection="1">
      <alignment horizontal="center" vertical="center"/>
      <protection locked="0"/>
    </xf>
    <xf numFmtId="49" fontId="25" fillId="2" borderId="74" xfId="0" applyNumberFormat="1" applyFont="1" applyFill="1" applyBorder="1" applyAlignment="1" applyProtection="1">
      <alignment horizontal="center" vertical="center"/>
      <protection locked="0"/>
    </xf>
    <xf numFmtId="49" fontId="25" fillId="2" borderId="29" xfId="0" applyNumberFormat="1" applyFont="1" applyFill="1" applyBorder="1" applyAlignment="1" applyProtection="1">
      <alignment horizontal="center" vertical="center"/>
      <protection locked="0"/>
    </xf>
    <xf numFmtId="177" fontId="25" fillId="2" borderId="33" xfId="0" applyNumberFormat="1" applyFont="1" applyFill="1" applyBorder="1" applyAlignment="1" applyProtection="1">
      <alignment horizontal="center" vertical="center"/>
      <protection locked="0"/>
    </xf>
    <xf numFmtId="177" fontId="25" fillId="2" borderId="4" xfId="0" applyNumberFormat="1" applyFont="1" applyFill="1" applyBorder="1" applyProtection="1">
      <alignment vertical="center"/>
      <protection locked="0"/>
    </xf>
    <xf numFmtId="0" fontId="30" fillId="2" borderId="5" xfId="0" applyFont="1" applyFill="1" applyBorder="1" applyAlignment="1" applyProtection="1">
      <alignment horizontal="center" vertical="center"/>
      <protection locked="0"/>
    </xf>
    <xf numFmtId="177" fontId="25" fillId="2" borderId="5" xfId="0" applyNumberFormat="1" applyFont="1" applyFill="1" applyBorder="1" applyProtection="1">
      <alignment vertical="center"/>
      <protection locked="0"/>
    </xf>
    <xf numFmtId="177" fontId="25" fillId="0" borderId="33" xfId="0" applyNumberFormat="1" applyFont="1" applyFill="1" applyBorder="1">
      <alignment vertical="center"/>
    </xf>
    <xf numFmtId="177" fontId="35" fillId="0" borderId="33" xfId="0" applyNumberFormat="1" applyFont="1" applyFill="1" applyBorder="1" applyAlignment="1">
      <alignment horizontal="center" vertical="center" wrapText="1"/>
    </xf>
    <xf numFmtId="177" fontId="25" fillId="0" borderId="16" xfId="0" applyNumberFormat="1" applyFont="1" applyBorder="1">
      <alignment vertical="center"/>
    </xf>
    <xf numFmtId="177" fontId="25" fillId="0" borderId="33" xfId="0" applyNumberFormat="1" applyFont="1" applyFill="1" applyBorder="1" applyAlignment="1">
      <alignment horizontal="center" vertical="center"/>
    </xf>
    <xf numFmtId="0" fontId="25" fillId="2" borderId="40" xfId="0" applyFont="1" applyFill="1" applyBorder="1" applyAlignment="1">
      <alignment horizontal="center" vertical="center"/>
    </xf>
    <xf numFmtId="0" fontId="30" fillId="2" borderId="44" xfId="0" applyFont="1" applyFill="1" applyBorder="1" applyAlignment="1" applyProtection="1">
      <alignment horizontal="center" vertical="center"/>
      <protection locked="0"/>
    </xf>
    <xf numFmtId="177" fontId="31" fillId="2" borderId="44" xfId="0" applyNumberFormat="1" applyFont="1" applyFill="1" applyBorder="1" applyAlignment="1">
      <alignment horizontal="center" vertical="center"/>
    </xf>
    <xf numFmtId="0" fontId="30" fillId="2" borderId="49" xfId="0" applyFont="1" applyFill="1" applyBorder="1" applyAlignment="1" applyProtection="1">
      <alignment horizontal="center" vertical="center"/>
      <protection locked="0"/>
    </xf>
    <xf numFmtId="0" fontId="31" fillId="2" borderId="49" xfId="0" applyFont="1" applyFill="1" applyBorder="1" applyAlignment="1">
      <alignment horizontal="center" vertical="center"/>
    </xf>
    <xf numFmtId="0" fontId="31" fillId="2" borderId="50" xfId="0" applyFont="1" applyFill="1" applyBorder="1" applyAlignment="1">
      <alignment horizontal="center" vertical="center"/>
    </xf>
    <xf numFmtId="0" fontId="25" fillId="0" borderId="9" xfId="0" applyFont="1" applyBorder="1" applyAlignment="1">
      <alignment horizontal="center" vertical="center" wrapText="1"/>
    </xf>
    <xf numFmtId="176" fontId="25" fillId="0" borderId="71" xfId="0" applyNumberFormat="1" applyFont="1" applyBorder="1" applyAlignment="1">
      <alignment vertical="center"/>
    </xf>
    <xf numFmtId="176" fontId="25" fillId="0" borderId="35" xfId="0" applyNumberFormat="1" applyFont="1" applyBorder="1">
      <alignment vertical="center"/>
    </xf>
    <xf numFmtId="0" fontId="25" fillId="0" borderId="35" xfId="0" applyFont="1" applyBorder="1">
      <alignment vertical="center"/>
    </xf>
    <xf numFmtId="0" fontId="25" fillId="0" borderId="41" xfId="0" applyFont="1" applyBorder="1" applyAlignment="1">
      <alignment vertical="center"/>
    </xf>
    <xf numFmtId="176" fontId="25" fillId="0" borderId="41" xfId="0" applyNumberFormat="1" applyFont="1" applyBorder="1" applyAlignment="1">
      <alignment vertical="center"/>
    </xf>
    <xf numFmtId="49" fontId="25" fillId="2" borderId="63" xfId="0" applyNumberFormat="1" applyFont="1" applyFill="1" applyBorder="1" applyAlignment="1" applyProtection="1">
      <alignment horizontal="center" vertical="center"/>
      <protection locked="0"/>
    </xf>
    <xf numFmtId="49" fontId="25" fillId="2" borderId="75" xfId="0" applyNumberFormat="1" applyFont="1" applyFill="1" applyBorder="1" applyAlignment="1" applyProtection="1">
      <alignment horizontal="center" vertical="center"/>
      <protection locked="0"/>
    </xf>
    <xf numFmtId="49" fontId="25" fillId="2" borderId="28" xfId="0" applyNumberFormat="1" applyFont="1" applyFill="1" applyBorder="1" applyAlignment="1" applyProtection="1">
      <alignment horizontal="center" vertical="center"/>
      <protection locked="0"/>
    </xf>
    <xf numFmtId="177" fontId="25" fillId="2" borderId="34" xfId="0" applyNumberFormat="1" applyFont="1" applyFill="1" applyBorder="1" applyAlignment="1" applyProtection="1">
      <alignment horizontal="center" vertical="center"/>
      <protection locked="0"/>
    </xf>
    <xf numFmtId="177" fontId="25" fillId="2" borderId="7" xfId="0" applyNumberFormat="1" applyFont="1" applyFill="1" applyBorder="1" applyProtection="1">
      <alignment vertical="center"/>
      <protection locked="0"/>
    </xf>
    <xf numFmtId="0" fontId="30" fillId="2" borderId="1" xfId="0" applyFont="1" applyFill="1" applyBorder="1" applyAlignment="1" applyProtection="1">
      <alignment horizontal="center" vertical="center"/>
      <protection locked="0"/>
    </xf>
    <xf numFmtId="177" fontId="25" fillId="2" borderId="12" xfId="0" applyNumberFormat="1" applyFont="1" applyFill="1" applyBorder="1" applyProtection="1">
      <alignment vertical="center"/>
      <protection locked="0"/>
    </xf>
    <xf numFmtId="177" fontId="25" fillId="0" borderId="34" xfId="0" applyNumberFormat="1" applyFont="1" applyFill="1" applyBorder="1">
      <alignment vertical="center"/>
    </xf>
    <xf numFmtId="177" fontId="35" fillId="0" borderId="34" xfId="0" applyNumberFormat="1" applyFont="1" applyFill="1" applyBorder="1" applyAlignment="1">
      <alignment horizontal="center" vertical="center" wrapText="1"/>
    </xf>
    <xf numFmtId="177" fontId="25" fillId="0" borderId="17" xfId="0" applyNumberFormat="1" applyFont="1" applyBorder="1">
      <alignment vertical="center"/>
    </xf>
    <xf numFmtId="177" fontId="25" fillId="0" borderId="34" xfId="0" applyNumberFormat="1" applyFont="1" applyFill="1" applyBorder="1" applyAlignment="1">
      <alignment horizontal="center" vertical="center"/>
    </xf>
    <xf numFmtId="177" fontId="25" fillId="0" borderId="0" xfId="0" applyNumberFormat="1" applyFont="1" applyBorder="1" applyAlignment="1">
      <alignment horizontal="center" vertical="center"/>
    </xf>
    <xf numFmtId="176" fontId="25" fillId="0" borderId="0" xfId="0" applyNumberFormat="1" applyFont="1" applyBorder="1" applyAlignment="1">
      <alignment vertical="center"/>
    </xf>
    <xf numFmtId="0" fontId="25" fillId="0" borderId="36" xfId="0" applyNumberFormat="1" applyFont="1" applyBorder="1" applyAlignment="1">
      <alignment horizontal="right" vertical="center"/>
    </xf>
    <xf numFmtId="0" fontId="25" fillId="0" borderId="0" xfId="0" applyFont="1" applyAlignment="1">
      <alignment vertical="top"/>
    </xf>
    <xf numFmtId="0" fontId="36" fillId="3" borderId="4" xfId="0" applyFont="1" applyFill="1" applyBorder="1" applyAlignment="1">
      <alignment horizontal="distributed" vertical="center" justifyLastLine="1"/>
    </xf>
    <xf numFmtId="38" fontId="36" fillId="3" borderId="5" xfId="1" applyFont="1" applyFill="1" applyBorder="1" applyAlignment="1">
      <alignment horizontal="center" vertical="center"/>
    </xf>
    <xf numFmtId="0" fontId="36" fillId="3" borderId="5" xfId="0" applyFont="1" applyFill="1" applyBorder="1" applyAlignment="1">
      <alignment horizontal="center" vertical="center"/>
    </xf>
    <xf numFmtId="0" fontId="36" fillId="3" borderId="6" xfId="0" applyFont="1" applyFill="1" applyBorder="1" applyAlignment="1">
      <alignment horizontal="center" vertical="center"/>
    </xf>
    <xf numFmtId="0" fontId="36" fillId="3" borderId="33" xfId="0" applyFont="1" applyFill="1" applyBorder="1" applyAlignment="1">
      <alignment horizontal="center" vertical="center" wrapText="1"/>
    </xf>
    <xf numFmtId="0" fontId="36" fillId="4" borderId="4" xfId="0" applyFont="1" applyFill="1" applyBorder="1" applyAlignment="1">
      <alignment vertical="center"/>
    </xf>
    <xf numFmtId="3" fontId="37" fillId="4" borderId="6" xfId="0" applyNumberFormat="1" applyFont="1" applyFill="1" applyBorder="1" applyAlignment="1">
      <alignment vertical="center"/>
    </xf>
    <xf numFmtId="3" fontId="37" fillId="4" borderId="0" xfId="0" applyNumberFormat="1" applyFont="1" applyFill="1" applyBorder="1" applyAlignment="1">
      <alignment vertical="center"/>
    </xf>
    <xf numFmtId="176" fontId="25" fillId="5" borderId="18" xfId="0" applyNumberFormat="1" applyFont="1" applyFill="1" applyBorder="1" applyAlignment="1">
      <alignment vertical="center"/>
    </xf>
    <xf numFmtId="0" fontId="36" fillId="3" borderId="7" xfId="0" applyFont="1" applyFill="1" applyBorder="1" applyAlignment="1">
      <alignment horizontal="center" vertical="center"/>
    </xf>
    <xf numFmtId="179" fontId="36" fillId="3" borderId="1" xfId="1" applyNumberFormat="1" applyFont="1" applyFill="1" applyBorder="1" applyAlignment="1">
      <alignment vertical="center"/>
    </xf>
    <xf numFmtId="177" fontId="36" fillId="3" borderId="1" xfId="1" applyNumberFormat="1" applyFont="1" applyFill="1" applyBorder="1" applyAlignment="1">
      <alignment vertical="center"/>
    </xf>
    <xf numFmtId="177" fontId="36" fillId="3" borderId="8" xfId="1" applyNumberFormat="1" applyFont="1" applyFill="1" applyBorder="1" applyAlignment="1">
      <alignment vertical="center"/>
    </xf>
    <xf numFmtId="177" fontId="36" fillId="3" borderId="34" xfId="1" applyNumberFormat="1" applyFont="1" applyFill="1" applyBorder="1" applyAlignment="1">
      <alignment vertical="center"/>
    </xf>
    <xf numFmtId="0" fontId="36" fillId="4" borderId="7" xfId="0" applyFont="1" applyFill="1" applyBorder="1" applyAlignment="1">
      <alignment vertical="center"/>
    </xf>
    <xf numFmtId="3" fontId="37" fillId="4" borderId="8" xfId="0" applyNumberFormat="1" applyFont="1" applyFill="1" applyBorder="1" applyAlignment="1">
      <alignment vertical="center"/>
    </xf>
    <xf numFmtId="176" fontId="25" fillId="5" borderId="12" xfId="0" applyNumberFormat="1" applyFont="1" applyFill="1" applyBorder="1" applyAlignment="1">
      <alignment vertical="center"/>
    </xf>
    <xf numFmtId="38" fontId="36" fillId="3" borderId="23" xfId="1" applyFont="1" applyFill="1" applyBorder="1" applyAlignment="1">
      <alignment horizontal="center" vertical="center"/>
    </xf>
    <xf numFmtId="179" fontId="36" fillId="3" borderId="18" xfId="1" applyNumberFormat="1" applyFont="1" applyFill="1" applyBorder="1" applyAlignment="1">
      <alignment vertical="center"/>
    </xf>
    <xf numFmtId="177" fontId="36" fillId="3" borderId="18" xfId="1" applyNumberFormat="1" applyFont="1" applyFill="1" applyBorder="1" applyAlignment="1">
      <alignment vertical="center"/>
    </xf>
    <xf numFmtId="177" fontId="36" fillId="3" borderId="24" xfId="1" applyNumberFormat="1" applyFont="1" applyFill="1" applyBorder="1" applyAlignment="1">
      <alignment vertical="center"/>
    </xf>
    <xf numFmtId="177" fontId="36" fillId="3" borderId="58" xfId="1" applyNumberFormat="1" applyFont="1" applyFill="1" applyBorder="1" applyAlignment="1">
      <alignment vertical="center"/>
    </xf>
    <xf numFmtId="0" fontId="36" fillId="4" borderId="9" xfId="0" applyFont="1" applyFill="1" applyBorder="1" applyAlignment="1">
      <alignment vertical="center"/>
    </xf>
    <xf numFmtId="3" fontId="37" fillId="4" borderId="11" xfId="0" applyNumberFormat="1" applyFont="1" applyFill="1" applyBorder="1" applyAlignment="1">
      <alignment vertical="center"/>
    </xf>
    <xf numFmtId="0" fontId="34" fillId="0" borderId="0" xfId="0" applyFont="1" applyAlignment="1">
      <alignment vertical="center" wrapText="1"/>
    </xf>
    <xf numFmtId="49" fontId="25" fillId="2" borderId="53" xfId="0" applyNumberFormat="1" applyFont="1" applyFill="1" applyBorder="1" applyAlignment="1" applyProtection="1">
      <alignment horizontal="center" vertical="center"/>
      <protection locked="0"/>
    </xf>
    <xf numFmtId="49" fontId="25" fillId="2" borderId="30" xfId="0" applyNumberFormat="1" applyFont="1" applyFill="1" applyBorder="1" applyAlignment="1" applyProtection="1">
      <alignment horizontal="center" vertical="center"/>
      <protection locked="0"/>
    </xf>
    <xf numFmtId="49" fontId="25" fillId="2" borderId="27" xfId="0" applyNumberFormat="1" applyFont="1" applyFill="1" applyBorder="1" applyAlignment="1" applyProtection="1">
      <alignment horizontal="center" vertical="center"/>
      <protection locked="0"/>
    </xf>
    <xf numFmtId="177" fontId="25" fillId="2" borderId="35" xfId="0" applyNumberFormat="1" applyFont="1" applyFill="1" applyBorder="1" applyAlignment="1" applyProtection="1">
      <alignment horizontal="center" vertical="center"/>
      <protection locked="0"/>
    </xf>
    <xf numFmtId="177" fontId="25" fillId="2" borderId="9" xfId="0" applyNumberFormat="1" applyFont="1" applyFill="1" applyBorder="1" applyProtection="1">
      <alignment vertical="center"/>
      <protection locked="0"/>
    </xf>
    <xf numFmtId="0" fontId="30" fillId="2" borderId="10" xfId="0" applyFont="1" applyFill="1" applyBorder="1" applyAlignment="1" applyProtection="1">
      <alignment horizontal="center" vertical="center"/>
      <protection locked="0"/>
    </xf>
    <xf numFmtId="177" fontId="25" fillId="2" borderId="10" xfId="0" applyNumberFormat="1" applyFont="1" applyFill="1" applyBorder="1" applyProtection="1">
      <alignment vertical="center"/>
      <protection locked="0"/>
    </xf>
    <xf numFmtId="177" fontId="25" fillId="0" borderId="35" xfId="0" applyNumberFormat="1" applyFont="1" applyFill="1" applyBorder="1">
      <alignment vertical="center"/>
    </xf>
    <xf numFmtId="177" fontId="35" fillId="0" borderId="35" xfId="0" applyNumberFormat="1" applyFont="1" applyFill="1" applyBorder="1" applyAlignment="1">
      <alignment horizontal="center" vertical="center" wrapText="1"/>
    </xf>
    <xf numFmtId="177" fontId="25" fillId="0" borderId="32" xfId="0" applyNumberFormat="1" applyFont="1" applyBorder="1">
      <alignment vertical="center"/>
    </xf>
    <xf numFmtId="177" fontId="25" fillId="0" borderId="35" xfId="0" applyNumberFormat="1" applyFont="1" applyFill="1" applyBorder="1" applyAlignment="1">
      <alignment horizontal="center" vertical="center"/>
    </xf>
    <xf numFmtId="0" fontId="36" fillId="3" borderId="9" xfId="0" applyFont="1" applyFill="1" applyBorder="1" applyAlignment="1">
      <alignment horizontal="center" vertical="center"/>
    </xf>
    <xf numFmtId="179" fontId="36" fillId="3" borderId="10" xfId="1" applyNumberFormat="1" applyFont="1" applyFill="1" applyBorder="1" applyAlignment="1">
      <alignment vertical="center"/>
    </xf>
    <xf numFmtId="177" fontId="36" fillId="3" borderId="10" xfId="1" applyNumberFormat="1" applyFont="1" applyFill="1" applyBorder="1" applyAlignment="1">
      <alignment vertical="center"/>
    </xf>
    <xf numFmtId="177" fontId="36" fillId="3" borderId="11" xfId="1" applyNumberFormat="1" applyFont="1" applyFill="1" applyBorder="1" applyAlignment="1">
      <alignment vertical="center"/>
    </xf>
    <xf numFmtId="177" fontId="36" fillId="3" borderId="35" xfId="1" applyNumberFormat="1" applyFont="1" applyFill="1" applyBorder="1" applyAlignment="1">
      <alignment vertical="center"/>
    </xf>
    <xf numFmtId="0" fontId="25" fillId="0" borderId="0" xfId="0" applyFont="1" applyAlignment="1">
      <alignment horizontal="center" vertical="center"/>
    </xf>
    <xf numFmtId="0" fontId="30" fillId="0" borderId="0" xfId="0" applyFont="1">
      <alignment vertical="center"/>
    </xf>
    <xf numFmtId="0" fontId="30" fillId="0" borderId="1" xfId="0" applyFont="1" applyBorder="1">
      <alignment vertical="center"/>
    </xf>
    <xf numFmtId="0" fontId="25" fillId="0" borderId="1" xfId="0" applyFont="1" applyBorder="1" applyAlignment="1">
      <alignment vertical="center" shrinkToFit="1"/>
    </xf>
    <xf numFmtId="0" fontId="25" fillId="0" borderId="57" xfId="0" applyFont="1" applyBorder="1" applyAlignment="1">
      <alignment vertical="center" shrinkToFit="1"/>
    </xf>
    <xf numFmtId="12" fontId="25" fillId="0" borderId="38" xfId="0" applyNumberFormat="1" applyFont="1" applyBorder="1" applyAlignment="1">
      <alignment horizontal="right" vertical="center"/>
    </xf>
    <xf numFmtId="0" fontId="38" fillId="0" borderId="0" xfId="0" applyFont="1">
      <alignment vertical="center"/>
    </xf>
    <xf numFmtId="176" fontId="25" fillId="0" borderId="1" xfId="0" applyNumberFormat="1" applyFont="1" applyBorder="1">
      <alignment vertical="center"/>
    </xf>
    <xf numFmtId="176" fontId="25" fillId="0" borderId="57" xfId="0" applyNumberFormat="1" applyFont="1" applyBorder="1">
      <alignment vertical="center"/>
    </xf>
    <xf numFmtId="0" fontId="38" fillId="0" borderId="0" xfId="0" applyFont="1" applyFill="1" applyBorder="1" applyAlignment="1">
      <alignment horizontal="center" vertical="center"/>
    </xf>
    <xf numFmtId="0" fontId="33" fillId="0" borderId="0" xfId="0" applyFont="1" applyBorder="1" applyAlignment="1">
      <alignment horizontal="center" vertical="center" wrapText="1"/>
    </xf>
    <xf numFmtId="0" fontId="25" fillId="0" borderId="0" xfId="0" applyFont="1" applyFill="1" applyBorder="1" applyAlignment="1">
      <alignment vertical="center"/>
    </xf>
    <xf numFmtId="38" fontId="42" fillId="0" borderId="0" xfId="1" applyFont="1" applyBorder="1" applyAlignment="1">
      <alignment horizontal="center" vertical="center" shrinkToFit="1"/>
    </xf>
    <xf numFmtId="0" fontId="30" fillId="0" borderId="0" xfId="0" applyFont="1" applyAlignment="1"/>
    <xf numFmtId="38" fontId="42" fillId="0" borderId="0" xfId="1" applyFont="1" applyFill="1" applyBorder="1" applyAlignment="1">
      <alignment horizontal="center" vertical="center"/>
    </xf>
    <xf numFmtId="0" fontId="30" fillId="0" borderId="1" xfId="0" applyFont="1" applyBorder="1" applyAlignment="1"/>
    <xf numFmtId="177" fontId="25" fillId="0" borderId="0" xfId="0" applyNumberFormat="1" applyFont="1">
      <alignment vertical="center"/>
    </xf>
    <xf numFmtId="0" fontId="39" fillId="0" borderId="20" xfId="0" applyFont="1" applyBorder="1" applyAlignment="1">
      <alignment vertical="center"/>
    </xf>
    <xf numFmtId="0" fontId="39" fillId="0" borderId="22" xfId="0" applyFont="1" applyBorder="1" applyAlignment="1">
      <alignment vertical="center"/>
    </xf>
    <xf numFmtId="0" fontId="25" fillId="0" borderId="22" xfId="0" applyFont="1" applyBorder="1">
      <alignment vertical="center"/>
    </xf>
    <xf numFmtId="0" fontId="25" fillId="0" borderId="21" xfId="0" applyFont="1" applyBorder="1">
      <alignment vertical="center"/>
    </xf>
    <xf numFmtId="49" fontId="25" fillId="0" borderId="0" xfId="0" applyNumberFormat="1" applyFont="1">
      <alignment vertical="center"/>
    </xf>
    <xf numFmtId="0" fontId="30" fillId="0" borderId="0" xfId="0" applyFont="1" applyAlignment="1">
      <alignment vertical="center"/>
    </xf>
    <xf numFmtId="0" fontId="30" fillId="0" borderId="57" xfId="0" applyFont="1" applyBorder="1" applyAlignment="1">
      <alignment horizontal="right" vertical="center"/>
    </xf>
    <xf numFmtId="0" fontId="25" fillId="0" borderId="20" xfId="0" applyFont="1" applyBorder="1" applyAlignment="1">
      <alignment vertical="center"/>
    </xf>
    <xf numFmtId="0" fontId="25" fillId="0" borderId="21" xfId="0" applyFont="1" applyBorder="1" applyAlignment="1">
      <alignment vertical="center"/>
    </xf>
    <xf numFmtId="0" fontId="30" fillId="0" borderId="3" xfId="0" applyFont="1" applyBorder="1" applyAlignment="1">
      <alignment horizontal="center"/>
    </xf>
    <xf numFmtId="0" fontId="30" fillId="0" borderId="1" xfId="0" applyFont="1" applyBorder="1" applyAlignment="1">
      <alignment horizontal="center"/>
    </xf>
    <xf numFmtId="0" fontId="38" fillId="0" borderId="0" xfId="0" applyFont="1" applyBorder="1" applyAlignment="1" applyProtection="1">
      <alignment vertical="center"/>
    </xf>
    <xf numFmtId="0" fontId="25" fillId="0" borderId="0" xfId="0" applyFont="1" applyBorder="1" applyAlignment="1" applyProtection="1">
      <alignment vertical="center"/>
    </xf>
    <xf numFmtId="0" fontId="25" fillId="0" borderId="64" xfId="0" applyFont="1" applyBorder="1" applyAlignment="1" applyProtection="1">
      <alignment vertical="center"/>
    </xf>
    <xf numFmtId="0" fontId="25" fillId="0" borderId="0" xfId="0" applyFont="1" applyAlignment="1" applyProtection="1">
      <alignment vertical="center"/>
    </xf>
    <xf numFmtId="0" fontId="25" fillId="0" borderId="57" xfId="0" applyFont="1" applyBorder="1">
      <alignment vertical="center"/>
    </xf>
    <xf numFmtId="177" fontId="25" fillId="0" borderId="1" xfId="0" applyNumberFormat="1" applyFont="1" applyBorder="1" applyAlignment="1"/>
    <xf numFmtId="0" fontId="30" fillId="0" borderId="0" xfId="0" applyFont="1" applyBorder="1">
      <alignment vertical="center"/>
    </xf>
    <xf numFmtId="0" fontId="25" fillId="0" borderId="64" xfId="0" applyFont="1" applyBorder="1">
      <alignment vertical="center"/>
    </xf>
    <xf numFmtId="176" fontId="25" fillId="0" borderId="3" xfId="0" applyNumberFormat="1" applyFont="1" applyBorder="1" applyAlignment="1"/>
    <xf numFmtId="176" fontId="25" fillId="0" borderId="1" xfId="0" applyNumberFormat="1" applyFont="1" applyBorder="1" applyAlignment="1"/>
    <xf numFmtId="0" fontId="25" fillId="0" borderId="0" xfId="0" applyFont="1" applyBorder="1" applyAlignment="1" applyProtection="1">
      <alignment horizontal="right" vertical="center"/>
    </xf>
    <xf numFmtId="0" fontId="25" fillId="0" borderId="1" xfId="0" applyFont="1" applyBorder="1" applyAlignment="1" applyProtection="1">
      <alignment horizontal="center"/>
    </xf>
    <xf numFmtId="0" fontId="25" fillId="0" borderId="37" xfId="0" applyFont="1" applyBorder="1" applyAlignment="1" applyProtection="1">
      <alignment horizontal="center"/>
    </xf>
    <xf numFmtId="0" fontId="25" fillId="0" borderId="0" xfId="0" applyFont="1" applyBorder="1" applyAlignment="1" applyProtection="1">
      <alignment horizontal="center"/>
    </xf>
    <xf numFmtId="176" fontId="25" fillId="0" borderId="1" xfId="0" applyNumberFormat="1" applyFont="1" applyBorder="1" applyAlignment="1">
      <alignment vertical="center"/>
    </xf>
    <xf numFmtId="0" fontId="25" fillId="0" borderId="37" xfId="0" applyFont="1" applyBorder="1" applyAlignment="1" applyProtection="1">
      <alignment vertical="center" wrapText="1"/>
    </xf>
    <xf numFmtId="0" fontId="25" fillId="0" borderId="1" xfId="0" applyFont="1" applyBorder="1" applyAlignment="1" applyProtection="1">
      <alignment vertical="center" wrapText="1"/>
    </xf>
    <xf numFmtId="176" fontId="25" fillId="0" borderId="1" xfId="0" applyNumberFormat="1" applyFont="1" applyBorder="1" applyAlignment="1" applyProtection="1">
      <alignment horizontal="right"/>
    </xf>
    <xf numFmtId="177" fontId="25" fillId="0" borderId="1" xfId="0" applyNumberFormat="1" applyFont="1" applyBorder="1" applyAlignment="1" applyProtection="1">
      <alignment vertical="center"/>
    </xf>
    <xf numFmtId="176" fontId="25" fillId="0" borderId="22" xfId="0" applyNumberFormat="1" applyFont="1" applyBorder="1" applyAlignment="1" applyProtection="1">
      <alignment vertical="center" wrapText="1"/>
    </xf>
    <xf numFmtId="0" fontId="25" fillId="0" borderId="19" xfId="0" applyFont="1" applyBorder="1">
      <alignment vertical="center"/>
    </xf>
    <xf numFmtId="176" fontId="25" fillId="0" borderId="15" xfId="0" applyNumberFormat="1" applyFont="1" applyBorder="1" applyAlignment="1">
      <alignment vertical="center"/>
    </xf>
    <xf numFmtId="177" fontId="25" fillId="0" borderId="15" xfId="0" applyNumberFormat="1" applyFont="1" applyBorder="1" applyAlignment="1"/>
    <xf numFmtId="0" fontId="25" fillId="0" borderId="17" xfId="0" applyFont="1" applyBorder="1">
      <alignment vertical="center"/>
    </xf>
    <xf numFmtId="177" fontId="25" fillId="0" borderId="0" xfId="0" applyNumberFormat="1" applyFont="1" applyBorder="1" applyAlignment="1"/>
    <xf numFmtId="0" fontId="39" fillId="0" borderId="20" xfId="0" applyFont="1" applyBorder="1" applyAlignment="1">
      <alignment horizontal="left" vertical="center"/>
    </xf>
    <xf numFmtId="0" fontId="39" fillId="0" borderId="22" xfId="0" applyFont="1" applyBorder="1" applyAlignment="1">
      <alignment horizontal="center" vertical="center"/>
    </xf>
    <xf numFmtId="0" fontId="25" fillId="0" borderId="43" xfId="0" applyFont="1" applyBorder="1" applyAlignment="1">
      <alignment horizontal="center" vertical="center"/>
    </xf>
    <xf numFmtId="0" fontId="25" fillId="0" borderId="3" xfId="0" applyFont="1" applyBorder="1" applyAlignment="1">
      <alignment horizontal="center" vertical="center"/>
    </xf>
    <xf numFmtId="0" fontId="25" fillId="0" borderId="20" xfId="0" applyFont="1" applyBorder="1" applyAlignment="1">
      <alignment horizontal="left" vertical="center"/>
    </xf>
    <xf numFmtId="0" fontId="25" fillId="0" borderId="22" xfId="0" applyFont="1" applyBorder="1" applyAlignment="1">
      <alignment horizontal="center" vertical="center"/>
    </xf>
    <xf numFmtId="0" fontId="25" fillId="0" borderId="21" xfId="0" applyFont="1" applyBorder="1" applyAlignment="1">
      <alignment horizontal="center" vertical="center"/>
    </xf>
    <xf numFmtId="0" fontId="25" fillId="0" borderId="64" xfId="0" applyFont="1" applyBorder="1" applyAlignment="1">
      <alignment horizontal="right" vertical="center"/>
    </xf>
    <xf numFmtId="0" fontId="25" fillId="0" borderId="12" xfId="0" applyFont="1" applyBorder="1" applyAlignment="1">
      <alignment horizontal="center" vertical="center" wrapText="1"/>
    </xf>
    <xf numFmtId="0" fontId="25" fillId="0" borderId="19" xfId="0" applyFont="1" applyBorder="1" applyAlignment="1">
      <alignment horizontal="center" vertical="center"/>
    </xf>
    <xf numFmtId="0" fontId="25" fillId="0" borderId="15" xfId="0" applyFont="1" applyBorder="1" applyAlignment="1">
      <alignment horizontal="center" vertical="center"/>
    </xf>
    <xf numFmtId="0" fontId="25" fillId="0" borderId="17" xfId="0" applyFont="1" applyBorder="1" applyAlignment="1">
      <alignment horizontal="center" vertical="center"/>
    </xf>
    <xf numFmtId="0" fontId="25" fillId="0" borderId="64" xfId="0" applyFont="1" applyBorder="1" applyAlignment="1">
      <alignment horizontal="center" vertical="center" wrapText="1"/>
    </xf>
    <xf numFmtId="0" fontId="30" fillId="0" borderId="57" xfId="0" applyFont="1" applyBorder="1">
      <alignment vertical="center"/>
    </xf>
    <xf numFmtId="178" fontId="25" fillId="0" borderId="1" xfId="0" applyNumberFormat="1" applyFont="1" applyBorder="1" applyAlignment="1">
      <alignment horizontal="center" vertical="center"/>
    </xf>
    <xf numFmtId="3" fontId="25" fillId="0" borderId="1" xfId="0" applyNumberFormat="1" applyFont="1" applyBorder="1" applyAlignment="1">
      <alignment vertical="center"/>
    </xf>
    <xf numFmtId="0" fontId="25" fillId="0" borderId="1" xfId="0" applyFont="1" applyBorder="1" applyAlignment="1">
      <alignment vertical="center"/>
    </xf>
    <xf numFmtId="181" fontId="25" fillId="0" borderId="1" xfId="0" applyNumberFormat="1" applyFont="1" applyBorder="1" applyAlignment="1">
      <alignment vertical="center"/>
    </xf>
    <xf numFmtId="0" fontId="25" fillId="0" borderId="64" xfId="0" applyFont="1" applyBorder="1" applyAlignment="1">
      <alignment vertical="center"/>
    </xf>
    <xf numFmtId="181" fontId="25" fillId="0" borderId="1" xfId="0" applyNumberFormat="1" applyFont="1" applyBorder="1">
      <alignment vertical="center"/>
    </xf>
    <xf numFmtId="3" fontId="25" fillId="0" borderId="0" xfId="0" applyNumberFormat="1" applyFont="1" applyBorder="1" applyAlignment="1">
      <alignment vertical="center"/>
    </xf>
    <xf numFmtId="3" fontId="25" fillId="0" borderId="22" xfId="0" applyNumberFormat="1" applyFont="1" applyBorder="1" applyAlignment="1">
      <alignment vertical="center"/>
    </xf>
    <xf numFmtId="178" fontId="25" fillId="0" borderId="0" xfId="0" applyNumberFormat="1" applyFont="1" applyBorder="1" applyAlignment="1">
      <alignment horizontal="center" vertical="center"/>
    </xf>
    <xf numFmtId="0" fontId="25" fillId="0" borderId="1" xfId="0" applyFont="1" applyBorder="1" applyAlignment="1">
      <alignment horizontal="center" vertical="center" wrapText="1"/>
    </xf>
    <xf numFmtId="3" fontId="25" fillId="0" borderId="15" xfId="0" applyNumberFormat="1" applyFont="1" applyBorder="1" applyAlignment="1">
      <alignment vertical="center"/>
    </xf>
    <xf numFmtId="181" fontId="25" fillId="0" borderId="15" xfId="0" applyNumberFormat="1" applyFont="1" applyBorder="1" applyAlignment="1">
      <alignment vertical="center"/>
    </xf>
    <xf numFmtId="0" fontId="25" fillId="0" borderId="0" xfId="0" applyFont="1" applyFill="1">
      <alignment vertical="center"/>
    </xf>
    <xf numFmtId="0" fontId="41" fillId="0" borderId="0" xfId="0" applyFont="1" applyFill="1" applyAlignment="1">
      <alignment vertical="center"/>
    </xf>
    <xf numFmtId="181" fontId="25" fillId="0" borderId="0" xfId="0" applyNumberFormat="1" applyFont="1" applyBorder="1" applyAlignment="1">
      <alignment vertical="center"/>
    </xf>
    <xf numFmtId="58" fontId="44" fillId="2" borderId="19" xfId="0" applyNumberFormat="1" applyFont="1" applyFill="1" applyBorder="1" applyAlignment="1">
      <alignment horizontal="center" vertical="center"/>
    </xf>
    <xf numFmtId="0" fontId="44" fillId="2" borderId="1" xfId="0" applyFont="1" applyFill="1" applyBorder="1" applyAlignment="1">
      <alignment horizontal="right" vertical="center"/>
    </xf>
    <xf numFmtId="0" fontId="34" fillId="0" borderId="0" xfId="0" applyFont="1" applyFill="1" applyBorder="1" applyAlignment="1">
      <alignment horizontal="left" vertical="center"/>
    </xf>
    <xf numFmtId="0" fontId="34" fillId="0" borderId="0" xfId="0" applyFont="1">
      <alignment vertical="center"/>
    </xf>
    <xf numFmtId="0" fontId="34" fillId="0" borderId="0" xfId="0" applyFont="1" applyFill="1" applyBorder="1" applyAlignment="1">
      <alignment horizontal="left" vertical="top"/>
    </xf>
    <xf numFmtId="0" fontId="34" fillId="0" borderId="0" xfId="0" applyFont="1" applyAlignment="1">
      <alignment vertical="top"/>
    </xf>
    <xf numFmtId="0" fontId="45" fillId="0" borderId="0" xfId="2" applyFont="1" applyAlignment="1" applyProtection="1">
      <alignment vertical="top"/>
      <protection locked="0"/>
    </xf>
    <xf numFmtId="0" fontId="34" fillId="0" borderId="0" xfId="0" applyFont="1" applyAlignment="1">
      <alignment vertical="top" wrapText="1"/>
    </xf>
    <xf numFmtId="0" fontId="7" fillId="0" borderId="0" xfId="2">
      <alignment vertical="center"/>
    </xf>
    <xf numFmtId="0" fontId="33" fillId="0" borderId="18" xfId="0" applyFont="1" applyBorder="1" applyAlignment="1">
      <alignment horizontal="center" vertical="center"/>
    </xf>
    <xf numFmtId="0" fontId="33" fillId="0" borderId="37" xfId="0" applyFont="1" applyBorder="1" applyAlignment="1">
      <alignment horizontal="center" vertical="center"/>
    </xf>
    <xf numFmtId="177" fontId="25" fillId="2" borderId="2" xfId="0" applyNumberFormat="1" applyFont="1" applyFill="1" applyBorder="1" applyAlignment="1" applyProtection="1">
      <alignment horizontal="center" vertical="center"/>
      <protection locked="0"/>
    </xf>
    <xf numFmtId="177" fontId="25" fillId="2" borderId="36" xfId="0" applyNumberFormat="1" applyFont="1" applyFill="1" applyBorder="1" applyAlignment="1" applyProtection="1">
      <alignment horizontal="center" vertical="center"/>
      <protection locked="0"/>
    </xf>
    <xf numFmtId="177" fontId="25" fillId="2" borderId="71" xfId="0" applyNumberFormat="1" applyFont="1" applyFill="1" applyBorder="1" applyAlignment="1" applyProtection="1">
      <alignment horizontal="center" vertical="center"/>
      <protection locked="0"/>
    </xf>
    <xf numFmtId="177" fontId="25" fillId="2" borderId="38" xfId="0" applyNumberFormat="1" applyFont="1" applyFill="1" applyBorder="1" applyAlignment="1" applyProtection="1">
      <alignment horizontal="center" vertical="center"/>
      <protection locked="0"/>
    </xf>
    <xf numFmtId="0" fontId="33" fillId="0" borderId="40" xfId="0" applyFont="1" applyBorder="1" applyAlignment="1">
      <alignment horizontal="center" vertical="center" wrapText="1"/>
    </xf>
    <xf numFmtId="0" fontId="33" fillId="0" borderId="45" xfId="0" applyFont="1" applyBorder="1" applyAlignment="1">
      <alignment horizontal="center" vertical="center" wrapText="1"/>
    </xf>
    <xf numFmtId="0" fontId="25" fillId="6" borderId="40" xfId="0" applyFont="1" applyFill="1" applyBorder="1" applyAlignment="1">
      <alignment horizontal="center" vertical="center"/>
    </xf>
    <xf numFmtId="0" fontId="25" fillId="6" borderId="44" xfId="0" applyFont="1" applyFill="1" applyBorder="1" applyAlignment="1">
      <alignment horizontal="center" vertical="center"/>
    </xf>
    <xf numFmtId="0" fontId="25" fillId="6" borderId="45" xfId="0" applyFont="1" applyFill="1" applyBorder="1" applyAlignment="1">
      <alignment horizontal="center" vertical="center"/>
    </xf>
    <xf numFmtId="177" fontId="25" fillId="0" borderId="25" xfId="0" applyNumberFormat="1" applyFont="1" applyBorder="1" applyAlignment="1">
      <alignment vertical="center"/>
    </xf>
    <xf numFmtId="0" fontId="25" fillId="0" borderId="13" xfId="0" applyFont="1" applyBorder="1" applyAlignment="1">
      <alignment vertical="center"/>
    </xf>
    <xf numFmtId="0" fontId="25" fillId="0" borderId="14" xfId="0" applyFont="1" applyBorder="1" applyAlignment="1">
      <alignment vertical="center"/>
    </xf>
    <xf numFmtId="182" fontId="43" fillId="0" borderId="51" xfId="1" applyNumberFormat="1" applyFont="1" applyBorder="1" applyAlignment="1">
      <alignment horizontal="center" vertical="center" wrapText="1" shrinkToFit="1"/>
    </xf>
    <xf numFmtId="182" fontId="43" fillId="0" borderId="52" xfId="1" applyNumberFormat="1" applyFont="1" applyBorder="1" applyAlignment="1">
      <alignment horizontal="center" vertical="center" wrapText="1" shrinkToFit="1"/>
    </xf>
    <xf numFmtId="182" fontId="43" fillId="0" borderId="53" xfId="1" applyNumberFormat="1" applyFont="1" applyBorder="1" applyAlignment="1">
      <alignment horizontal="center" vertical="center" wrapText="1" shrinkToFit="1"/>
    </xf>
    <xf numFmtId="182" fontId="43" fillId="0" borderId="27" xfId="1" applyNumberFormat="1" applyFont="1" applyBorder="1" applyAlignment="1">
      <alignment horizontal="center" vertical="center" wrapText="1" shrinkToFit="1"/>
    </xf>
    <xf numFmtId="0" fontId="25" fillId="0" borderId="67" xfId="0" applyFont="1" applyBorder="1" applyAlignment="1">
      <alignment horizontal="center" vertical="center"/>
    </xf>
    <xf numFmtId="0" fontId="25" fillId="0" borderId="0" xfId="0" applyFont="1" applyBorder="1" applyAlignment="1">
      <alignment horizontal="center" vertical="center"/>
    </xf>
    <xf numFmtId="0" fontId="33" fillId="0" borderId="1" xfId="0" applyFont="1" applyBorder="1" applyAlignment="1">
      <alignment horizontal="center" vertical="center"/>
    </xf>
    <xf numFmtId="177" fontId="33" fillId="0" borderId="1" xfId="0" applyNumberFormat="1" applyFont="1" applyBorder="1" applyAlignment="1">
      <alignment horizontal="center" vertical="center"/>
    </xf>
    <xf numFmtId="0" fontId="31" fillId="6" borderId="70" xfId="0" applyFont="1" applyFill="1" applyBorder="1" applyAlignment="1">
      <alignment horizontal="center" vertical="center"/>
    </xf>
    <xf numFmtId="0" fontId="31" fillId="6" borderId="45" xfId="0" applyFont="1" applyFill="1" applyBorder="1" applyAlignment="1">
      <alignment horizontal="center" vertical="center"/>
    </xf>
    <xf numFmtId="177" fontId="25" fillId="2" borderId="72" xfId="0" applyNumberFormat="1" applyFont="1" applyFill="1" applyBorder="1" applyAlignment="1" applyProtection="1">
      <alignment horizontal="center" vertical="center"/>
      <protection locked="0"/>
    </xf>
    <xf numFmtId="177" fontId="25" fillId="2" borderId="29" xfId="0" applyNumberFormat="1" applyFont="1" applyFill="1" applyBorder="1" applyAlignment="1" applyProtection="1">
      <alignment horizontal="center" vertical="center"/>
      <protection locked="0"/>
    </xf>
    <xf numFmtId="0" fontId="31" fillId="6" borderId="40" xfId="0" applyFont="1" applyFill="1" applyBorder="1" applyAlignment="1">
      <alignment horizontal="center" vertical="center"/>
    </xf>
    <xf numFmtId="0" fontId="31" fillId="6" borderId="44" xfId="0" applyFont="1" applyFill="1" applyBorder="1" applyAlignment="1">
      <alignment horizontal="center" vertical="center"/>
    </xf>
    <xf numFmtId="0" fontId="40" fillId="0" borderId="51" xfId="0" applyFont="1" applyBorder="1" applyAlignment="1">
      <alignment horizontal="center" vertical="center"/>
    </xf>
    <xf numFmtId="0" fontId="40" fillId="0" borderId="67" xfId="0" applyFont="1" applyBorder="1" applyAlignment="1">
      <alignment horizontal="center" vertical="center"/>
    </xf>
    <xf numFmtId="0" fontId="40" fillId="0" borderId="52" xfId="0" applyFont="1" applyBorder="1" applyAlignment="1">
      <alignment horizontal="center" vertical="center"/>
    </xf>
    <xf numFmtId="0" fontId="40" fillId="0" borderId="53" xfId="0" applyFont="1" applyBorder="1" applyAlignment="1">
      <alignment horizontal="center" vertical="center"/>
    </xf>
    <xf numFmtId="0" fontId="40" fillId="0" borderId="26" xfId="0" applyFont="1" applyBorder="1" applyAlignment="1">
      <alignment horizontal="center" vertical="center"/>
    </xf>
    <xf numFmtId="0" fontId="40" fillId="0" borderId="27" xfId="0" applyFont="1" applyBorder="1" applyAlignment="1">
      <alignment horizontal="center" vertical="center"/>
    </xf>
    <xf numFmtId="0" fontId="27" fillId="0" borderId="51" xfId="0" applyFont="1" applyBorder="1" applyAlignment="1">
      <alignment horizontal="center" vertical="center"/>
    </xf>
    <xf numFmtId="0" fontId="27" fillId="0" borderId="67" xfId="0" applyFont="1" applyBorder="1" applyAlignment="1">
      <alignment horizontal="center" vertical="center"/>
    </xf>
    <xf numFmtId="0" fontId="27" fillId="0" borderId="52" xfId="0" applyFont="1" applyBorder="1" applyAlignment="1">
      <alignment horizontal="center" vertical="center"/>
    </xf>
    <xf numFmtId="0" fontId="27" fillId="0" borderId="53" xfId="0" applyFont="1"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38" fontId="41" fillId="0" borderId="51" xfId="1" applyFont="1" applyBorder="1" applyAlignment="1">
      <alignment horizontal="center" vertical="center" wrapText="1"/>
    </xf>
    <xf numFmtId="38" fontId="41" fillId="0" borderId="52" xfId="1" applyFont="1" applyBorder="1" applyAlignment="1">
      <alignment horizontal="center" vertical="center" wrapText="1"/>
    </xf>
    <xf numFmtId="38" fontId="41" fillId="0" borderId="53" xfId="1" applyFont="1" applyBorder="1" applyAlignment="1">
      <alignment horizontal="center" vertical="center" wrapText="1"/>
    </xf>
    <xf numFmtId="38" fontId="41" fillId="0" borderId="27" xfId="1" applyFont="1" applyBorder="1" applyAlignment="1">
      <alignment horizontal="center" vertical="center" wrapText="1"/>
    </xf>
    <xf numFmtId="38" fontId="42" fillId="0" borderId="51" xfId="1" applyFont="1" applyFill="1" applyBorder="1" applyAlignment="1">
      <alignment horizontal="center" vertical="center" wrapText="1"/>
    </xf>
    <xf numFmtId="38" fontId="42" fillId="0" borderId="52" xfId="1" applyFont="1" applyFill="1" applyBorder="1" applyAlignment="1">
      <alignment horizontal="center" vertical="center" wrapText="1"/>
    </xf>
    <xf numFmtId="38" fontId="42" fillId="0" borderId="53" xfId="1" applyFont="1" applyFill="1" applyBorder="1" applyAlignment="1">
      <alignment horizontal="center" vertical="center" wrapText="1"/>
    </xf>
    <xf numFmtId="38" fontId="42" fillId="0" borderId="27" xfId="1" applyFont="1" applyFill="1" applyBorder="1" applyAlignment="1">
      <alignment horizontal="center" vertical="center" wrapText="1"/>
    </xf>
    <xf numFmtId="0" fontId="27" fillId="0" borderId="40" xfId="0" applyFont="1" applyBorder="1" applyAlignment="1" applyProtection="1">
      <alignment horizontal="center" vertical="center" wrapText="1"/>
    </xf>
    <xf numFmtId="0" fontId="27" fillId="0" borderId="44" xfId="0" applyFont="1" applyBorder="1" applyAlignment="1" applyProtection="1">
      <alignment horizontal="center" vertical="center" wrapText="1"/>
    </xf>
    <xf numFmtId="0" fontId="27" fillId="0" borderId="45" xfId="0" applyFont="1" applyBorder="1" applyAlignment="1" applyProtection="1">
      <alignment horizontal="center" vertical="center" wrapText="1"/>
    </xf>
    <xf numFmtId="0" fontId="39" fillId="0" borderId="40" xfId="0" applyFont="1" applyFill="1" applyBorder="1" applyAlignment="1">
      <alignment horizontal="center" vertical="center"/>
    </xf>
    <xf numFmtId="0" fontId="39" fillId="0" borderId="45" xfId="0" applyFont="1" applyFill="1" applyBorder="1" applyAlignment="1">
      <alignment horizontal="center" vertical="center"/>
    </xf>
    <xf numFmtId="0" fontId="38" fillId="0" borderId="40" xfId="0" applyFont="1" applyFill="1" applyBorder="1" applyAlignment="1">
      <alignment horizontal="center" vertical="center"/>
    </xf>
    <xf numFmtId="0" fontId="38" fillId="0" borderId="45" xfId="0" applyFont="1" applyFill="1" applyBorder="1" applyAlignment="1">
      <alignment horizontal="center" vertical="center"/>
    </xf>
    <xf numFmtId="38" fontId="42" fillId="0" borderId="51" xfId="1" applyFont="1" applyBorder="1" applyAlignment="1">
      <alignment horizontal="center" vertical="center" shrinkToFit="1"/>
    </xf>
    <xf numFmtId="38" fontId="42" fillId="0" borderId="52" xfId="1" applyFont="1" applyBorder="1" applyAlignment="1">
      <alignment horizontal="center" vertical="center" shrinkToFit="1"/>
    </xf>
    <xf numFmtId="38" fontId="42" fillId="0" borderId="53" xfId="1" applyFont="1" applyBorder="1" applyAlignment="1">
      <alignment horizontal="center" vertical="center" shrinkToFit="1"/>
    </xf>
    <xf numFmtId="38" fontId="42" fillId="0" borderId="27" xfId="1" applyFont="1" applyBorder="1" applyAlignment="1">
      <alignment horizontal="center" vertical="center" shrinkToFit="1"/>
    </xf>
    <xf numFmtId="38" fontId="42" fillId="0" borderId="51" xfId="1" applyFont="1" applyFill="1" applyBorder="1" applyAlignment="1">
      <alignment horizontal="center" vertical="center"/>
    </xf>
    <xf numFmtId="38" fontId="42" fillId="0" borderId="52" xfId="1" applyFont="1" applyFill="1" applyBorder="1" applyAlignment="1">
      <alignment horizontal="center" vertical="center"/>
    </xf>
    <xf numFmtId="38" fontId="42" fillId="0" borderId="53" xfId="1" applyFont="1" applyFill="1" applyBorder="1" applyAlignment="1">
      <alignment horizontal="center" vertical="center"/>
    </xf>
    <xf numFmtId="38" fontId="42" fillId="0" borderId="27" xfId="1" applyFont="1" applyFill="1" applyBorder="1" applyAlignment="1">
      <alignment horizontal="center" vertical="center"/>
    </xf>
    <xf numFmtId="177" fontId="33" fillId="0" borderId="18" xfId="0" applyNumberFormat="1" applyFont="1" applyBorder="1" applyAlignment="1">
      <alignment horizontal="center" vertical="center"/>
    </xf>
    <xf numFmtId="177" fontId="33" fillId="0" borderId="37" xfId="0" applyNumberFormat="1" applyFont="1" applyBorder="1" applyAlignment="1">
      <alignment horizontal="center" vertical="center"/>
    </xf>
    <xf numFmtId="177" fontId="33" fillId="0" borderId="12" xfId="0" applyNumberFormat="1" applyFont="1" applyBorder="1" applyAlignment="1">
      <alignment horizontal="center" vertical="center"/>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3" xfId="0" applyFont="1" applyBorder="1" applyAlignment="1">
      <alignment horizontal="center" vertical="center"/>
    </xf>
    <xf numFmtId="0" fontId="25" fillId="0" borderId="3" xfId="0" applyFont="1" applyBorder="1" applyAlignment="1">
      <alignment horizontal="center" vertical="center"/>
    </xf>
    <xf numFmtId="0" fontId="25" fillId="0" borderId="15" xfId="0" applyFont="1" applyBorder="1" applyAlignment="1">
      <alignment horizontal="center" vertical="center"/>
    </xf>
    <xf numFmtId="0" fontId="25" fillId="0" borderId="17" xfId="0" applyFont="1" applyBorder="1" applyAlignment="1">
      <alignment horizontal="center" vertical="center"/>
    </xf>
    <xf numFmtId="0" fontId="30" fillId="0" borderId="0" xfId="0" applyFont="1" applyAlignment="1">
      <alignment horizontal="center" vertical="center"/>
    </xf>
    <xf numFmtId="0" fontId="30" fillId="0" borderId="15" xfId="0" applyFont="1" applyBorder="1" applyAlignment="1">
      <alignment horizontal="center" vertical="center"/>
    </xf>
    <xf numFmtId="178" fontId="33" fillId="0" borderId="1" xfId="0" applyNumberFormat="1" applyFont="1" applyBorder="1" applyAlignment="1">
      <alignment horizontal="center" vertical="center"/>
    </xf>
    <xf numFmtId="3" fontId="33" fillId="0" borderId="18" xfId="0" applyNumberFormat="1" applyFont="1" applyBorder="1" applyAlignment="1">
      <alignment horizontal="center" vertical="center"/>
    </xf>
    <xf numFmtId="3" fontId="33" fillId="0" borderId="37" xfId="0" applyNumberFormat="1" applyFont="1" applyBorder="1" applyAlignment="1">
      <alignment horizontal="center" vertical="center"/>
    </xf>
    <xf numFmtId="3" fontId="33" fillId="0" borderId="12" xfId="0" applyNumberFormat="1" applyFont="1" applyBorder="1" applyAlignment="1">
      <alignment horizontal="center" vertical="center"/>
    </xf>
    <xf numFmtId="180" fontId="25" fillId="0" borderId="19" xfId="0" applyNumberFormat="1" applyFont="1" applyBorder="1" applyAlignment="1">
      <alignment horizontal="center" vertical="center"/>
    </xf>
    <xf numFmtId="180" fontId="25" fillId="0" borderId="17" xfId="0" applyNumberFormat="1" applyFont="1" applyBorder="1" applyAlignment="1">
      <alignment horizontal="center" vertical="center"/>
    </xf>
    <xf numFmtId="3" fontId="33" fillId="0" borderId="1" xfId="0" applyNumberFormat="1" applyFont="1" applyBorder="1" applyAlignment="1">
      <alignment horizontal="center" vertical="center"/>
    </xf>
    <xf numFmtId="0" fontId="25" fillId="0" borderId="18" xfId="0" applyFont="1" applyBorder="1" applyAlignment="1">
      <alignment horizontal="center" vertical="center"/>
    </xf>
    <xf numFmtId="0" fontId="25" fillId="0" borderId="12" xfId="0" applyFont="1" applyBorder="1" applyAlignment="1">
      <alignment horizontal="center" vertical="center"/>
    </xf>
    <xf numFmtId="0" fontId="25" fillId="0" borderId="1" xfId="0" applyFont="1" applyBorder="1" applyAlignment="1">
      <alignment horizontal="left" vertical="center"/>
    </xf>
    <xf numFmtId="0" fontId="25" fillId="0" borderId="18" xfId="0" applyFont="1" applyBorder="1" applyAlignment="1">
      <alignment horizontal="center" vertical="center" wrapText="1"/>
    </xf>
    <xf numFmtId="0" fontId="25" fillId="0" borderId="12" xfId="0" applyFont="1" applyBorder="1" applyAlignment="1">
      <alignment horizontal="center" vertical="center" wrapText="1"/>
    </xf>
    <xf numFmtId="0" fontId="33" fillId="0" borderId="12" xfId="0" applyFont="1" applyBorder="1" applyAlignment="1">
      <alignment horizontal="center" vertical="center"/>
    </xf>
    <xf numFmtId="0" fontId="30" fillId="0" borderId="2" xfId="0" applyFont="1" applyBorder="1" applyAlignment="1" applyProtection="1">
      <alignment horizontal="center" vertical="center"/>
    </xf>
    <xf numFmtId="0" fontId="30" fillId="0" borderId="3" xfId="0" applyFont="1" applyBorder="1" applyAlignment="1" applyProtection="1">
      <alignment horizontal="center" vertical="center"/>
    </xf>
    <xf numFmtId="0" fontId="25" fillId="0" borderId="20" xfId="0" applyFont="1" applyBorder="1" applyAlignment="1" applyProtection="1">
      <alignment horizontal="center" vertical="center" wrapText="1"/>
    </xf>
    <xf numFmtId="0" fontId="25" fillId="0" borderId="3" xfId="0" applyFont="1" applyBorder="1" applyAlignment="1" applyProtection="1">
      <alignment horizontal="center" vertical="center" wrapText="1"/>
    </xf>
    <xf numFmtId="0" fontId="30" fillId="0" borderId="20" xfId="0" applyFont="1" applyBorder="1" applyAlignment="1" applyProtection="1">
      <alignment horizontal="center" vertical="center" wrapText="1"/>
    </xf>
    <xf numFmtId="0" fontId="30" fillId="0" borderId="21" xfId="0" applyFont="1" applyBorder="1" applyAlignment="1" applyProtection="1">
      <alignment horizontal="center" vertical="center" wrapText="1"/>
    </xf>
    <xf numFmtId="0" fontId="30" fillId="0" borderId="19" xfId="0" applyFont="1" applyBorder="1" applyAlignment="1" applyProtection="1">
      <alignment horizontal="center" vertical="center" wrapText="1"/>
    </xf>
    <xf numFmtId="0" fontId="30" fillId="0" borderId="17" xfId="0" applyFont="1" applyBorder="1" applyAlignment="1" applyProtection="1">
      <alignment horizontal="center" vertical="center" wrapText="1"/>
    </xf>
    <xf numFmtId="177" fontId="25" fillId="0" borderId="2" xfId="0" applyNumberFormat="1" applyFont="1" applyBorder="1" applyAlignment="1" applyProtection="1">
      <alignment horizontal="center" vertical="center"/>
    </xf>
    <xf numFmtId="177" fontId="25" fillId="0" borderId="3" xfId="0" applyNumberFormat="1" applyFont="1" applyBorder="1" applyAlignment="1" applyProtection="1">
      <alignment horizontal="center" vertical="center"/>
    </xf>
    <xf numFmtId="176" fontId="25" fillId="5" borderId="1" xfId="0" applyNumberFormat="1" applyFont="1" applyFill="1" applyBorder="1" applyAlignment="1">
      <alignment vertical="center"/>
    </xf>
    <xf numFmtId="0" fontId="25" fillId="5" borderId="1" xfId="0" applyFont="1" applyFill="1" applyBorder="1" applyAlignment="1">
      <alignment vertical="center"/>
    </xf>
    <xf numFmtId="0" fontId="25" fillId="0" borderId="20" xfId="0" applyFont="1" applyBorder="1" applyAlignment="1">
      <alignment horizontal="center" vertical="center"/>
    </xf>
    <xf numFmtId="176" fontId="25" fillId="5" borderId="18" xfId="0" applyNumberFormat="1" applyFont="1" applyFill="1" applyBorder="1" applyAlignment="1">
      <alignment horizontal="right" vertical="center"/>
    </xf>
    <xf numFmtId="176" fontId="25" fillId="5" borderId="37" xfId="0" applyNumberFormat="1" applyFont="1" applyFill="1" applyBorder="1" applyAlignment="1">
      <alignment horizontal="right" vertical="center"/>
    </xf>
    <xf numFmtId="176" fontId="25" fillId="5" borderId="12" xfId="0" applyNumberFormat="1" applyFont="1" applyFill="1" applyBorder="1" applyAlignment="1">
      <alignment horizontal="right" vertical="center"/>
    </xf>
    <xf numFmtId="176" fontId="25" fillId="5" borderId="18" xfId="0" applyNumberFormat="1" applyFont="1" applyFill="1" applyBorder="1" applyAlignment="1">
      <alignment horizontal="center" vertical="center"/>
    </xf>
    <xf numFmtId="176" fontId="25" fillId="5" borderId="37" xfId="0" applyNumberFormat="1" applyFont="1" applyFill="1" applyBorder="1" applyAlignment="1">
      <alignment horizontal="center" vertical="center"/>
    </xf>
    <xf numFmtId="176" fontId="25" fillId="5" borderId="12" xfId="0" applyNumberFormat="1" applyFont="1" applyFill="1" applyBorder="1" applyAlignment="1">
      <alignment horizontal="center" vertical="center"/>
    </xf>
    <xf numFmtId="0" fontId="25" fillId="0" borderId="2" xfId="0" applyFont="1" applyBorder="1" applyAlignment="1">
      <alignment horizontal="center" vertical="center"/>
    </xf>
    <xf numFmtId="0" fontId="19" fillId="7" borderId="34" xfId="0" applyFont="1" applyFill="1" applyBorder="1" applyAlignment="1">
      <alignment horizontal="center" vertical="center"/>
    </xf>
    <xf numFmtId="0" fontId="19" fillId="7" borderId="58" xfId="0" applyFont="1" applyFill="1" applyBorder="1" applyAlignment="1">
      <alignment horizontal="center" vertical="center"/>
    </xf>
    <xf numFmtId="3" fontId="17" fillId="7" borderId="22" xfId="0" applyNumberFormat="1" applyFont="1" applyFill="1" applyBorder="1" applyAlignment="1">
      <alignment horizontal="right" vertical="center"/>
    </xf>
    <xf numFmtId="3" fontId="17" fillId="7" borderId="0" xfId="0" applyNumberFormat="1" applyFont="1" applyFill="1" applyBorder="1" applyAlignment="1">
      <alignment horizontal="right" vertical="center"/>
    </xf>
    <xf numFmtId="3" fontId="17" fillId="7" borderId="26" xfId="0" applyNumberFormat="1" applyFont="1" applyFill="1" applyBorder="1" applyAlignment="1">
      <alignment horizontal="right" vertical="center"/>
    </xf>
    <xf numFmtId="0" fontId="18" fillId="7" borderId="22" xfId="0" applyFont="1" applyFill="1" applyBorder="1" applyAlignment="1">
      <alignment horizontal="left" vertical="center"/>
    </xf>
    <xf numFmtId="0" fontId="18" fillId="7" borderId="0" xfId="0" applyFont="1" applyFill="1" applyBorder="1" applyAlignment="1">
      <alignment horizontal="left" vertical="center"/>
    </xf>
    <xf numFmtId="0" fontId="18" fillId="7" borderId="26" xfId="0" applyFont="1" applyFill="1" applyBorder="1" applyAlignment="1">
      <alignment horizontal="left" vertical="center"/>
    </xf>
    <xf numFmtId="3" fontId="17" fillId="7" borderId="20" xfId="0" applyNumberFormat="1" applyFont="1" applyFill="1" applyBorder="1" applyAlignment="1">
      <alignment horizontal="right" vertical="center"/>
    </xf>
    <xf numFmtId="3" fontId="17" fillId="7" borderId="57" xfId="0" applyNumberFormat="1" applyFont="1" applyFill="1" applyBorder="1" applyAlignment="1">
      <alignment horizontal="right" vertical="center"/>
    </xf>
    <xf numFmtId="3" fontId="17" fillId="7" borderId="66" xfId="0" applyNumberFormat="1" applyFont="1" applyFill="1" applyBorder="1" applyAlignment="1">
      <alignment horizontal="right" vertical="center"/>
    </xf>
    <xf numFmtId="3" fontId="17" fillId="7" borderId="61" xfId="0" applyNumberFormat="1" applyFont="1" applyFill="1" applyBorder="1" applyAlignment="1">
      <alignment horizontal="right" vertical="center"/>
    </xf>
    <xf numFmtId="3" fontId="17" fillId="7" borderId="62" xfId="0" applyNumberFormat="1" applyFont="1" applyFill="1" applyBorder="1" applyAlignment="1">
      <alignment horizontal="right" vertical="center"/>
    </xf>
    <xf numFmtId="3" fontId="17" fillId="7" borderId="63" xfId="0" applyNumberFormat="1" applyFont="1" applyFill="1" applyBorder="1" applyAlignment="1">
      <alignment horizontal="right" vertical="center"/>
    </xf>
    <xf numFmtId="0" fontId="18" fillId="7" borderId="15" xfId="0" applyFont="1" applyFill="1" applyBorder="1" applyAlignment="1">
      <alignment horizontal="left" vertical="center"/>
    </xf>
    <xf numFmtId="3" fontId="17" fillId="7" borderId="19" xfId="0" applyNumberFormat="1" applyFont="1" applyFill="1" applyBorder="1" applyAlignment="1">
      <alignment horizontal="right" vertical="center"/>
    </xf>
    <xf numFmtId="0" fontId="18" fillId="7" borderId="21" xfId="0" applyFont="1" applyFill="1" applyBorder="1" applyAlignment="1">
      <alignment horizontal="left" vertical="center"/>
    </xf>
    <xf numFmtId="0" fontId="18" fillId="7" borderId="64" xfId="0" applyFont="1" applyFill="1" applyBorder="1" applyAlignment="1">
      <alignment horizontal="left" vertical="center"/>
    </xf>
    <xf numFmtId="0" fontId="18" fillId="7" borderId="17" xfId="0" applyFont="1" applyFill="1" applyBorder="1" applyAlignment="1">
      <alignment horizontal="left" vertical="center"/>
    </xf>
    <xf numFmtId="0" fontId="18" fillId="7" borderId="60" xfId="0" applyFont="1" applyFill="1" applyBorder="1" applyAlignment="1">
      <alignment horizontal="left" vertical="center"/>
    </xf>
    <xf numFmtId="0" fontId="18" fillId="7" borderId="65" xfId="0" applyFont="1" applyFill="1" applyBorder="1" applyAlignment="1">
      <alignment horizontal="left" vertical="center"/>
    </xf>
    <xf numFmtId="0" fontId="18" fillId="7" borderId="27" xfId="0" applyFont="1" applyFill="1" applyBorder="1" applyAlignment="1">
      <alignment horizontal="left" vertical="center"/>
    </xf>
    <xf numFmtId="0" fontId="18" fillId="7" borderId="28" xfId="0" applyFont="1" applyFill="1" applyBorder="1" applyAlignment="1">
      <alignment horizontal="left" vertical="center"/>
    </xf>
    <xf numFmtId="0" fontId="18" fillId="7" borderId="54" xfId="0" applyFont="1" applyFill="1" applyBorder="1" applyAlignment="1">
      <alignment horizontal="center" vertical="center"/>
    </xf>
    <xf numFmtId="0" fontId="18" fillId="7" borderId="55" xfId="0" applyFont="1" applyFill="1" applyBorder="1" applyAlignment="1">
      <alignment horizontal="center" vertical="center"/>
    </xf>
    <xf numFmtId="0" fontId="18" fillId="7" borderId="56" xfId="0" applyFont="1" applyFill="1" applyBorder="1" applyAlignment="1">
      <alignment horizontal="center" vertical="center"/>
    </xf>
    <xf numFmtId="49" fontId="17" fillId="7" borderId="57" xfId="0" applyNumberFormat="1" applyFont="1" applyFill="1" applyBorder="1" applyAlignment="1">
      <alignment horizontal="right" vertical="center"/>
    </xf>
    <xf numFmtId="49" fontId="17" fillId="7" borderId="19" xfId="0" applyNumberFormat="1" applyFont="1" applyFill="1" applyBorder="1" applyAlignment="1">
      <alignment horizontal="right" vertical="center"/>
    </xf>
    <xf numFmtId="0" fontId="18" fillId="7" borderId="28" xfId="0" applyFont="1" applyFill="1" applyBorder="1" applyAlignment="1">
      <alignment vertical="center"/>
    </xf>
    <xf numFmtId="0" fontId="18" fillId="7" borderId="36" xfId="0" applyFont="1" applyFill="1" applyBorder="1" applyAlignment="1">
      <alignment vertical="center"/>
    </xf>
    <xf numFmtId="0" fontId="19" fillId="7" borderId="33" xfId="0" applyFont="1" applyFill="1" applyBorder="1" applyAlignment="1">
      <alignment horizontal="center" vertical="center"/>
    </xf>
    <xf numFmtId="49" fontId="17" fillId="7" borderId="0" xfId="0" applyNumberFormat="1" applyFont="1" applyFill="1" applyBorder="1" applyAlignment="1">
      <alignment horizontal="right" vertical="center"/>
    </xf>
    <xf numFmtId="49" fontId="17" fillId="7" borderId="15" xfId="0" applyNumberFormat="1" applyFont="1" applyFill="1" applyBorder="1" applyAlignment="1">
      <alignment horizontal="right" vertical="center"/>
    </xf>
    <xf numFmtId="0" fontId="18" fillId="7" borderId="17" xfId="0" applyFont="1" applyFill="1" applyBorder="1" applyAlignment="1">
      <alignment vertical="center"/>
    </xf>
    <xf numFmtId="0" fontId="18" fillId="7" borderId="3" xfId="0" applyFont="1" applyFill="1"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CC"/>
      <color rgb="FFFFFF99"/>
      <color rgb="FFCCFFFF"/>
      <color rgb="FFFFFFFF"/>
      <color rgb="FFFFFF66"/>
      <color rgb="FF0066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png"/><Relationship Id="rId1" Type="http://schemas.openxmlformats.org/officeDocument/2006/relationships/image" Target="../media/image9.emf"/><Relationship Id="rId5" Type="http://schemas.openxmlformats.org/officeDocument/2006/relationships/image" Target="../media/image12.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353786</xdr:rowOff>
    </xdr:from>
    <xdr:to>
      <xdr:col>26</xdr:col>
      <xdr:colOff>1201902</xdr:colOff>
      <xdr:row>9</xdr:row>
      <xdr:rowOff>231321</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3786"/>
          <a:ext cx="15176438" cy="7184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49059</xdr:colOff>
      <xdr:row>0</xdr:row>
      <xdr:rowOff>2482025</xdr:rowOff>
    </xdr:from>
    <xdr:to>
      <xdr:col>7</xdr:col>
      <xdr:colOff>293347</xdr:colOff>
      <xdr:row>0</xdr:row>
      <xdr:rowOff>3224893</xdr:rowOff>
    </xdr:to>
    <xdr:sp macro="" textlink="">
      <xdr:nvSpPr>
        <xdr:cNvPr id="304" name="角丸四角形 303">
          <a:extLst>
            <a:ext uri="{FF2B5EF4-FFF2-40B4-BE49-F238E27FC236}">
              <a16:creationId xmlns:a16="http://schemas.microsoft.com/office/drawing/2014/main" id="{00000000-0008-0000-0000-000030010000}"/>
            </a:ext>
          </a:extLst>
        </xdr:cNvPr>
        <xdr:cNvSpPr/>
      </xdr:nvSpPr>
      <xdr:spPr>
        <a:xfrm>
          <a:off x="321202" y="2482025"/>
          <a:ext cx="4707431" cy="742868"/>
        </a:xfrm>
        <a:prstGeom prst="roundRect">
          <a:avLst/>
        </a:prstGeom>
        <a:solidFill>
          <a:schemeClr val="accent3">
            <a:lumMod val="20000"/>
            <a:lumOff val="80000"/>
          </a:schemeClr>
        </a:solidFill>
        <a:ln>
          <a:solidFill>
            <a:schemeClr val="accent3">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a:t>
          </a:r>
          <a:r>
            <a:rPr kumimoji="1" lang="ja-JP" altLang="en-US" sz="1100" b="1">
              <a:solidFill>
                <a:schemeClr val="tx1"/>
              </a:solidFill>
              <a:latin typeface="BIZ UDPゴシック" panose="020B0400000000000000" pitchFamily="50" charset="-128"/>
              <a:ea typeface="BIZ UDPゴシック" panose="020B0400000000000000" pitchFamily="50" charset="-128"/>
            </a:rPr>
            <a:t>③非自発軽減</a:t>
          </a:r>
          <a:r>
            <a:rPr kumimoji="1" lang="ja-JP" altLang="en-US" sz="1100">
              <a:solidFill>
                <a:schemeClr val="tx1"/>
              </a:solidFill>
              <a:latin typeface="BIZ UDPゴシック" panose="020B0400000000000000" pitchFamily="50" charset="-128"/>
              <a:ea typeface="BIZ UDPゴシック" panose="020B0400000000000000" pitchFamily="50" charset="-128"/>
            </a:rPr>
            <a:t>」の場所に「</a:t>
          </a:r>
          <a:r>
            <a:rPr kumimoji="1" lang="ja-JP" altLang="en-US" sz="1100" b="1">
              <a:solidFill>
                <a:schemeClr val="tx1"/>
              </a:solidFill>
              <a:latin typeface="BIZ UDPゴシック" panose="020B0400000000000000" pitchFamily="50" charset="-128"/>
              <a:ea typeface="BIZ UDPゴシック" panose="020B0400000000000000" pitchFamily="50" charset="-128"/>
            </a:rPr>
            <a:t>該当</a:t>
          </a:r>
          <a:r>
            <a:rPr kumimoji="1" lang="ja-JP" altLang="en-US" sz="1100">
              <a:solidFill>
                <a:schemeClr val="tx1"/>
              </a:solidFill>
              <a:latin typeface="BIZ UDPゴシック" panose="020B0400000000000000" pitchFamily="50" charset="-128"/>
              <a:ea typeface="BIZ UDPゴシック" panose="020B0400000000000000" pitchFamily="50" charset="-128"/>
            </a:rPr>
            <a:t>」と入力することで、非自発的失業者に係る国民健康保険税の軽減に該当した場合の計算ができます。</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814190</xdr:colOff>
      <xdr:row>0</xdr:row>
      <xdr:rowOff>680356</xdr:rowOff>
    </xdr:from>
    <xdr:to>
      <xdr:col>20</xdr:col>
      <xdr:colOff>287548</xdr:colOff>
      <xdr:row>0</xdr:row>
      <xdr:rowOff>3646714</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stretch>
          <a:fillRect/>
        </a:stretch>
      </xdr:blipFill>
      <xdr:spPr>
        <a:xfrm>
          <a:off x="5524498" y="680356"/>
          <a:ext cx="6610584" cy="2966358"/>
        </a:xfrm>
        <a:prstGeom prst="rect">
          <a:avLst/>
        </a:prstGeom>
      </xdr:spPr>
    </xdr:pic>
    <xdr:clientData/>
  </xdr:twoCellAnchor>
  <xdr:twoCellAnchor>
    <xdr:from>
      <xdr:col>7</xdr:col>
      <xdr:colOff>1002392</xdr:colOff>
      <xdr:row>0</xdr:row>
      <xdr:rowOff>1111249</xdr:rowOff>
    </xdr:from>
    <xdr:to>
      <xdr:col>10</xdr:col>
      <xdr:colOff>285750</xdr:colOff>
      <xdr:row>0</xdr:row>
      <xdr:rowOff>2299606</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5642428" y="1111249"/>
          <a:ext cx="1882322" cy="1188357"/>
        </a:xfrm>
        <a:prstGeom prst="roundRect">
          <a:avLst/>
        </a:prstGeom>
        <a:noFill/>
        <a:ln w="50800" cmpd="sng">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517072</xdr:colOff>
      <xdr:row>0</xdr:row>
      <xdr:rowOff>1347109</xdr:rowOff>
    </xdr:from>
    <xdr:to>
      <xdr:col>7</xdr:col>
      <xdr:colOff>929820</xdr:colOff>
      <xdr:row>0</xdr:row>
      <xdr:rowOff>1771865</xdr:rowOff>
    </xdr:to>
    <xdr:sp macro="" textlink="">
      <xdr:nvSpPr>
        <xdr:cNvPr id="33" name="右矢印 32">
          <a:extLst>
            <a:ext uri="{FF2B5EF4-FFF2-40B4-BE49-F238E27FC236}">
              <a16:creationId xmlns:a16="http://schemas.microsoft.com/office/drawing/2014/main" id="{00000000-0008-0000-0000-000021000000}"/>
            </a:ext>
          </a:extLst>
        </xdr:cNvPr>
        <xdr:cNvSpPr/>
      </xdr:nvSpPr>
      <xdr:spPr>
        <a:xfrm>
          <a:off x="5238751" y="1347109"/>
          <a:ext cx="412748" cy="42475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423498</xdr:colOff>
      <xdr:row>0</xdr:row>
      <xdr:rowOff>1147144</xdr:rowOff>
    </xdr:from>
    <xdr:to>
      <xdr:col>21</xdr:col>
      <xdr:colOff>26096</xdr:colOff>
      <xdr:row>0</xdr:row>
      <xdr:rowOff>2233249</xdr:rowOff>
    </xdr:to>
    <xdr:sp macro="" textlink="">
      <xdr:nvSpPr>
        <xdr:cNvPr id="37" name="角丸四角形 36">
          <a:extLst>
            <a:ext uri="{FF2B5EF4-FFF2-40B4-BE49-F238E27FC236}">
              <a16:creationId xmlns:a16="http://schemas.microsoft.com/office/drawing/2014/main" id="{00000000-0008-0000-0000-000025000000}"/>
            </a:ext>
          </a:extLst>
        </xdr:cNvPr>
        <xdr:cNvSpPr/>
      </xdr:nvSpPr>
      <xdr:spPr>
        <a:xfrm>
          <a:off x="8565416" y="1147144"/>
          <a:ext cx="3608317" cy="1086105"/>
        </a:xfrm>
        <a:prstGeom prst="roundRect">
          <a:avLst/>
        </a:prstGeom>
        <a:noFill/>
        <a:ln w="50800" cmpd="sng">
          <a:solidFill>
            <a:srgbClr val="C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394607</xdr:colOff>
      <xdr:row>0</xdr:row>
      <xdr:rowOff>1877786</xdr:rowOff>
    </xdr:from>
    <xdr:to>
      <xdr:col>11</xdr:col>
      <xdr:colOff>330783</xdr:colOff>
      <xdr:row>0</xdr:row>
      <xdr:rowOff>2231571</xdr:rowOff>
    </xdr:to>
    <xdr:sp macro="" textlink="">
      <xdr:nvSpPr>
        <xdr:cNvPr id="35" name="角丸四角形 34">
          <a:extLst>
            <a:ext uri="{FF2B5EF4-FFF2-40B4-BE49-F238E27FC236}">
              <a16:creationId xmlns:a16="http://schemas.microsoft.com/office/drawing/2014/main" id="{00000000-0008-0000-0000-000023000000}"/>
            </a:ext>
          </a:extLst>
        </xdr:cNvPr>
        <xdr:cNvSpPr/>
      </xdr:nvSpPr>
      <xdr:spPr>
        <a:xfrm>
          <a:off x="7633607" y="1877786"/>
          <a:ext cx="779819" cy="353785"/>
        </a:xfrm>
        <a:prstGeom prst="roundRect">
          <a:avLst/>
        </a:prstGeom>
        <a:noFill/>
        <a:ln w="50800" cmpd="sng">
          <a:solidFill>
            <a:srgbClr val="00B0F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544285</xdr:colOff>
      <xdr:row>0</xdr:row>
      <xdr:rowOff>2326822</xdr:rowOff>
    </xdr:from>
    <xdr:to>
      <xdr:col>11</xdr:col>
      <xdr:colOff>290286</xdr:colOff>
      <xdr:row>0</xdr:row>
      <xdr:rowOff>2925535</xdr:rowOff>
    </xdr:to>
    <xdr:sp macro="" textlink="">
      <xdr:nvSpPr>
        <xdr:cNvPr id="41" name="屈折矢印 40">
          <a:extLst>
            <a:ext uri="{FF2B5EF4-FFF2-40B4-BE49-F238E27FC236}">
              <a16:creationId xmlns:a16="http://schemas.microsoft.com/office/drawing/2014/main" id="{00000000-0008-0000-0000-000029000000}"/>
            </a:ext>
          </a:extLst>
        </xdr:cNvPr>
        <xdr:cNvSpPr/>
      </xdr:nvSpPr>
      <xdr:spPr>
        <a:xfrm>
          <a:off x="5265964" y="2326822"/>
          <a:ext cx="2984501" cy="598713"/>
        </a:xfrm>
        <a:prstGeom prst="bentUpArrow">
          <a:avLst>
            <a:gd name="adj1" fmla="val 38735"/>
            <a:gd name="adj2" fmla="val 43886"/>
            <a:gd name="adj3" fmla="val 38736"/>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585108</xdr:colOff>
      <xdr:row>0</xdr:row>
      <xdr:rowOff>2684075</xdr:rowOff>
    </xdr:from>
    <xdr:to>
      <xdr:col>19</xdr:col>
      <xdr:colOff>43934</xdr:colOff>
      <xdr:row>2</xdr:row>
      <xdr:rowOff>27214</xdr:rowOff>
    </xdr:to>
    <xdr:sp macro="" textlink="">
      <xdr:nvSpPr>
        <xdr:cNvPr id="43" name="屈折矢印 42">
          <a:extLst>
            <a:ext uri="{FF2B5EF4-FFF2-40B4-BE49-F238E27FC236}">
              <a16:creationId xmlns:a16="http://schemas.microsoft.com/office/drawing/2014/main" id="{00000000-0008-0000-0000-00002B000000}"/>
            </a:ext>
          </a:extLst>
        </xdr:cNvPr>
        <xdr:cNvSpPr/>
      </xdr:nvSpPr>
      <xdr:spPr>
        <a:xfrm>
          <a:off x="5306787" y="2684075"/>
          <a:ext cx="4874468" cy="1452496"/>
        </a:xfrm>
        <a:prstGeom prst="bentUpArrow">
          <a:avLst>
            <a:gd name="adj1" fmla="val 8465"/>
            <a:gd name="adj2" fmla="val 11809"/>
            <a:gd name="adj3" fmla="val 17981"/>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493060</xdr:colOff>
      <xdr:row>0</xdr:row>
      <xdr:rowOff>67236</xdr:rowOff>
    </xdr:from>
    <xdr:to>
      <xdr:col>22</xdr:col>
      <xdr:colOff>124741</xdr:colOff>
      <xdr:row>0</xdr:row>
      <xdr:rowOff>605118</xdr:rowOff>
    </xdr:to>
    <xdr:pic>
      <xdr:nvPicPr>
        <xdr:cNvPr id="26" name="図 25">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37453" y="67236"/>
          <a:ext cx="4856824" cy="5378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69633</xdr:colOff>
      <xdr:row>0</xdr:row>
      <xdr:rowOff>2711558</xdr:rowOff>
    </xdr:from>
    <xdr:to>
      <xdr:col>21</xdr:col>
      <xdr:colOff>40820</xdr:colOff>
      <xdr:row>2</xdr:row>
      <xdr:rowOff>217714</xdr:rowOff>
    </xdr:to>
    <xdr:sp macro="" textlink="">
      <xdr:nvSpPr>
        <xdr:cNvPr id="14" name="上矢印 13">
          <a:extLst>
            <a:ext uri="{FF2B5EF4-FFF2-40B4-BE49-F238E27FC236}">
              <a16:creationId xmlns:a16="http://schemas.microsoft.com/office/drawing/2014/main" id="{00000000-0008-0000-0000-00000E000000}"/>
            </a:ext>
          </a:extLst>
        </xdr:cNvPr>
        <xdr:cNvSpPr/>
      </xdr:nvSpPr>
      <xdr:spPr>
        <a:xfrm rot="10800000">
          <a:off x="11622097" y="2711558"/>
          <a:ext cx="270544" cy="1887656"/>
        </a:xfrm>
        <a:prstGeom prst="upArrow">
          <a:avLst/>
        </a:prstGeom>
        <a:solidFill>
          <a:schemeClr val="accent5">
            <a:lumMod val="20000"/>
            <a:lumOff val="80000"/>
          </a:schemeClr>
        </a:solidFill>
        <a:ln>
          <a:solidFill>
            <a:srgbClr val="00206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44824</xdr:colOff>
      <xdr:row>10</xdr:row>
      <xdr:rowOff>44824</xdr:rowOff>
    </xdr:from>
    <xdr:to>
      <xdr:col>5</xdr:col>
      <xdr:colOff>1098176</xdr:colOff>
      <xdr:row>10</xdr:row>
      <xdr:rowOff>425824</xdr:rowOff>
    </xdr:to>
    <xdr:sp macro="" textlink="" fLocksText="0">
      <xdr:nvSpPr>
        <xdr:cNvPr id="2" name="テキスト ボックス 1">
          <a:extLst>
            <a:ext uri="{FF2B5EF4-FFF2-40B4-BE49-F238E27FC236}">
              <a16:creationId xmlns:a16="http://schemas.microsoft.com/office/drawing/2014/main" id="{00000000-0008-0000-0000-000002000000}"/>
            </a:ext>
          </a:extLst>
        </xdr:cNvPr>
        <xdr:cNvSpPr txBox="1"/>
      </xdr:nvSpPr>
      <xdr:spPr>
        <a:xfrm>
          <a:off x="313765" y="6286500"/>
          <a:ext cx="2891117" cy="381000"/>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1"/>
        </a:p>
      </xdr:txBody>
    </xdr:sp>
    <xdr:clientData/>
  </xdr:twoCellAnchor>
  <xdr:twoCellAnchor editAs="oneCell">
    <xdr:from>
      <xdr:col>6</xdr:col>
      <xdr:colOff>57151</xdr:colOff>
      <xdr:row>10</xdr:row>
      <xdr:rowOff>137006</xdr:rowOff>
    </xdr:from>
    <xdr:to>
      <xdr:col>6</xdr:col>
      <xdr:colOff>342901</xdr:colOff>
      <xdr:row>10</xdr:row>
      <xdr:rowOff>429812</xdr:rowOff>
    </xdr:to>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4"/>
        <a:stretch>
          <a:fillRect/>
        </a:stretch>
      </xdr:blipFill>
      <xdr:spPr>
        <a:xfrm>
          <a:off x="3267076" y="6394931"/>
          <a:ext cx="285750" cy="292806"/>
        </a:xfrm>
        <a:prstGeom prst="rect">
          <a:avLst/>
        </a:prstGeom>
      </xdr:spPr>
    </xdr:pic>
    <xdr:clientData/>
  </xdr:twoCellAnchor>
  <xdr:twoCellAnchor editAs="oneCell">
    <xdr:from>
      <xdr:col>1</xdr:col>
      <xdr:colOff>9527</xdr:colOff>
      <xdr:row>0</xdr:row>
      <xdr:rowOff>469447</xdr:rowOff>
    </xdr:from>
    <xdr:to>
      <xdr:col>7</xdr:col>
      <xdr:colOff>503857</xdr:colOff>
      <xdr:row>0</xdr:row>
      <xdr:rowOff>636657</xdr:rowOff>
    </xdr:to>
    <xdr:pic>
      <xdr:nvPicPr>
        <xdr:cNvPr id="40" name="図 39">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6227" y="469447"/>
          <a:ext cx="4946195" cy="1672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299357</xdr:colOff>
      <xdr:row>2</xdr:row>
      <xdr:rowOff>181428</xdr:rowOff>
    </xdr:from>
    <xdr:to>
      <xdr:col>25</xdr:col>
      <xdr:colOff>190500</xdr:colOff>
      <xdr:row>6</xdr:row>
      <xdr:rowOff>326571</xdr:rowOff>
    </xdr:to>
    <xdr:sp macro="" textlink="">
      <xdr:nvSpPr>
        <xdr:cNvPr id="71" name="横巻き 70">
          <a:extLst>
            <a:ext uri="{FF2B5EF4-FFF2-40B4-BE49-F238E27FC236}">
              <a16:creationId xmlns:a16="http://schemas.microsoft.com/office/drawing/2014/main" id="{00000000-0008-0000-0000-000047000000}"/>
            </a:ext>
          </a:extLst>
        </xdr:cNvPr>
        <xdr:cNvSpPr/>
      </xdr:nvSpPr>
      <xdr:spPr>
        <a:xfrm>
          <a:off x="7143750" y="4562928"/>
          <a:ext cx="5252357" cy="1614714"/>
        </a:xfrm>
        <a:prstGeom prst="horizontalScroll">
          <a:avLst/>
        </a:prstGeom>
        <a:solidFill>
          <a:schemeClr val="bg1">
            <a:lumMod val="95000"/>
          </a:schemeClr>
        </a:solidFill>
        <a:ln>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令和</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7</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年度の試算をする際には・・・</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b="1" u="none">
              <a:solidFill>
                <a:sysClr val="windowText" lastClr="000000"/>
              </a:solidFill>
              <a:latin typeface="BIZ UDPゴシック" panose="020B0400000000000000" pitchFamily="50" charset="-128"/>
              <a:ea typeface="BIZ UDPゴシック" panose="020B0400000000000000" pitchFamily="50" charset="-128"/>
            </a:rPr>
            <a:t>令和</a:t>
          </a:r>
          <a:r>
            <a:rPr kumimoji="1" lang="en-US" altLang="ja-JP" sz="1400" b="1" u="none">
              <a:solidFill>
                <a:sysClr val="windowText" lastClr="000000"/>
              </a:solidFill>
              <a:latin typeface="BIZ UDPゴシック" panose="020B0400000000000000" pitchFamily="50" charset="-128"/>
              <a:ea typeface="BIZ UDPゴシック" panose="020B0400000000000000" pitchFamily="50" charset="-128"/>
            </a:rPr>
            <a:t>6</a:t>
          </a:r>
          <a:r>
            <a:rPr kumimoji="1" lang="ja-JP" altLang="en-US" sz="1400" b="1" u="none">
              <a:solidFill>
                <a:sysClr val="windowText" lastClr="000000"/>
              </a:solidFill>
              <a:latin typeface="BIZ UDPゴシック" panose="020B0400000000000000" pitchFamily="50" charset="-128"/>
              <a:ea typeface="BIZ UDPゴシック" panose="020B0400000000000000" pitchFamily="50" charset="-128"/>
            </a:rPr>
            <a:t>年１月１日から１２月３１日分まで</a:t>
          </a:r>
          <a:r>
            <a:rPr kumimoji="1" lang="ja-JP" altLang="en-US" sz="1400" b="0" u="none">
              <a:solidFill>
                <a:sysClr val="windowText" lastClr="000000"/>
              </a:solidFill>
              <a:latin typeface="BIZ UDPゴシック" panose="020B0400000000000000" pitchFamily="50" charset="-128"/>
              <a:ea typeface="BIZ UDPゴシック" panose="020B0400000000000000" pitchFamily="50" charset="-128"/>
            </a:rPr>
            <a:t>の収入、所得を入力して下さい</a:t>
          </a:r>
          <a:r>
            <a:rPr kumimoji="1" lang="ja-JP" altLang="en-US" sz="1200" b="0" u="none">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u="sng" baseline="0">
              <a:solidFill>
                <a:sysClr val="windowText" lastClr="000000"/>
              </a:solidFill>
              <a:latin typeface="BIZ UDPゴシック" panose="020B0400000000000000" pitchFamily="50" charset="-128"/>
              <a:ea typeface="BIZ UDPゴシック" panose="020B0400000000000000" pitchFamily="50" charset="-128"/>
            </a:rPr>
            <a:t> </a:t>
          </a:r>
          <a:endParaRPr kumimoji="1" lang="en-US" altLang="ja-JP" sz="1400" b="1" u="sng">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ja-JP" altLang="en-US" sz="1100">
            <a:solidFill>
              <a:sysClr val="windowText" lastClr="000000"/>
            </a:solidFill>
          </a:endParaRPr>
        </a:p>
      </xdr:txBody>
    </xdr:sp>
    <xdr:clientData/>
  </xdr:twoCellAnchor>
  <xdr:twoCellAnchor>
    <xdr:from>
      <xdr:col>23</xdr:col>
      <xdr:colOff>258535</xdr:colOff>
      <xdr:row>0</xdr:row>
      <xdr:rowOff>1809750</xdr:rowOff>
    </xdr:from>
    <xdr:to>
      <xdr:col>26</xdr:col>
      <xdr:colOff>971069</xdr:colOff>
      <xdr:row>1</xdr:row>
      <xdr:rowOff>224117</xdr:rowOff>
    </xdr:to>
    <xdr:sp macro="" textlink="">
      <xdr:nvSpPr>
        <xdr:cNvPr id="76" name="角丸四角形吹き出し 75">
          <a:extLst>
            <a:ext uri="{FF2B5EF4-FFF2-40B4-BE49-F238E27FC236}">
              <a16:creationId xmlns:a16="http://schemas.microsoft.com/office/drawing/2014/main" id="{00000000-0008-0000-0000-00004C000000}"/>
            </a:ext>
          </a:extLst>
        </xdr:cNvPr>
        <xdr:cNvSpPr/>
      </xdr:nvSpPr>
      <xdr:spPr>
        <a:xfrm>
          <a:off x="12977211" y="1809750"/>
          <a:ext cx="1855534" cy="2426073"/>
        </a:xfrm>
        <a:prstGeom prst="wedgeRoundRectCallout">
          <a:avLst>
            <a:gd name="adj1" fmla="val -17207"/>
            <a:gd name="adj2" fmla="val -59719"/>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国保に加入する日を必ず入力して下さい。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例</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令和</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7</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年３月３１日</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退職の場合</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令和</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7</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年４月１日から</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（退職日の翌日が国保加入日となるため）</a:t>
          </a:r>
        </a:p>
      </xdr:txBody>
    </xdr:sp>
    <xdr:clientData/>
  </xdr:twoCellAnchor>
  <xdr:twoCellAnchor>
    <xdr:from>
      <xdr:col>17</xdr:col>
      <xdr:colOff>352294</xdr:colOff>
      <xdr:row>13</xdr:row>
      <xdr:rowOff>104384</xdr:rowOff>
    </xdr:from>
    <xdr:to>
      <xdr:col>26</xdr:col>
      <xdr:colOff>1422227</xdr:colOff>
      <xdr:row>16</xdr:row>
      <xdr:rowOff>417533</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0634075" y="9564144"/>
          <a:ext cx="4658118" cy="1800615"/>
        </a:xfrm>
        <a:prstGeom prst="wedgeRoundRectCallout">
          <a:avLst>
            <a:gd name="adj1" fmla="val 12105"/>
            <a:gd name="adj2" fmla="val -62063"/>
            <a:gd name="adj3" fmla="val 16667"/>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350">
              <a:solidFill>
                <a:sysClr val="windowText" lastClr="000000"/>
              </a:solidFill>
              <a:latin typeface="BIZ UDPゴシック" panose="020B0400000000000000" pitchFamily="50" charset="-128"/>
              <a:ea typeface="BIZ UDPゴシック" panose="020B0400000000000000" pitchFamily="50" charset="-128"/>
            </a:rPr>
            <a:t>国保加入日の属する年度（４月１日から翌年３月末）内に、</a:t>
          </a:r>
          <a:r>
            <a:rPr kumimoji="1" lang="ja-JP" altLang="en-US" sz="1350" b="1" u="sng">
              <a:solidFill>
                <a:sysClr val="windowText" lastClr="000000"/>
              </a:solidFill>
              <a:latin typeface="BIZ UDPゴシック" panose="020B0400000000000000" pitchFamily="50" charset="-128"/>
              <a:ea typeface="BIZ UDPゴシック" panose="020B0400000000000000" pitchFamily="50" charset="-128"/>
            </a:rPr>
            <a:t>４０歳もしくは６５歳</a:t>
          </a:r>
          <a:r>
            <a:rPr kumimoji="1" lang="ja-JP" altLang="en-US" sz="1350">
              <a:solidFill>
                <a:sysClr val="windowText" lastClr="000000"/>
              </a:solidFill>
              <a:latin typeface="BIZ UDPゴシック" panose="020B0400000000000000" pitchFamily="50" charset="-128"/>
              <a:ea typeface="BIZ UDPゴシック" panose="020B0400000000000000" pitchFamily="50" charset="-128"/>
            </a:rPr>
            <a:t>の誕生日を迎える方がいる場合、</a:t>
          </a:r>
          <a:r>
            <a:rPr kumimoji="1" lang="ja-JP" altLang="ja-JP" sz="1350">
              <a:solidFill>
                <a:schemeClr val="dk1"/>
              </a:solidFill>
              <a:effectLst/>
              <a:latin typeface="BIZ UDPゴシック" panose="020B0400000000000000" pitchFamily="50" charset="-128"/>
              <a:ea typeface="BIZ UDPゴシック" panose="020B0400000000000000" pitchFamily="50" charset="-128"/>
              <a:cs typeface="+mn-cs"/>
            </a:rPr>
            <a:t>７５歳になられる方がいる</a:t>
          </a:r>
          <a:r>
            <a:rPr kumimoji="1" lang="ja-JP" altLang="en-US" sz="1350">
              <a:solidFill>
                <a:sysClr val="windowText" lastClr="000000"/>
              </a:solidFill>
              <a:latin typeface="BIZ UDPゴシック" panose="020B0400000000000000" pitchFamily="50" charset="-128"/>
              <a:ea typeface="BIZ UDPゴシック" panose="020B0400000000000000" pitchFamily="50" charset="-128"/>
            </a:rPr>
            <a:t>場合は、計算の方法が異なりますので、試算の際は、本人確認書類をお持ちの上、市役所１階国保年金課または支所にお越しください。</a:t>
          </a:r>
          <a:endParaRPr kumimoji="1" lang="en-US" altLang="ja-JP" sz="135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ja-JP" altLang="en-US" sz="1200">
            <a:solidFill>
              <a:sysClr val="windowText" lastClr="000000"/>
            </a:solidFill>
          </a:endParaRPr>
        </a:p>
      </xdr:txBody>
    </xdr:sp>
    <xdr:clientData/>
  </xdr:twoCellAnchor>
  <xdr:twoCellAnchor>
    <xdr:from>
      <xdr:col>0</xdr:col>
      <xdr:colOff>244929</xdr:colOff>
      <xdr:row>9</xdr:row>
      <xdr:rowOff>13608</xdr:rowOff>
    </xdr:from>
    <xdr:to>
      <xdr:col>8</xdr:col>
      <xdr:colOff>705148</xdr:colOff>
      <xdr:row>9</xdr:row>
      <xdr:rowOff>408214</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44929" y="7320644"/>
          <a:ext cx="6324898" cy="3946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BIZ UDPゴシック" panose="020B0400000000000000" pitchFamily="50" charset="-128"/>
              <a:ea typeface="BIZ UDPゴシック" panose="020B0400000000000000" pitchFamily="50" charset="-128"/>
            </a:rPr>
            <a:t>令和</a:t>
          </a:r>
          <a:r>
            <a:rPr kumimoji="1" lang="en-US" altLang="ja-JP" sz="1800" b="1">
              <a:latin typeface="BIZ UDPゴシック" panose="020B0400000000000000" pitchFamily="50" charset="-128"/>
              <a:ea typeface="BIZ UDPゴシック" panose="020B0400000000000000" pitchFamily="50" charset="-128"/>
            </a:rPr>
            <a:t>7</a:t>
          </a:r>
          <a:r>
            <a:rPr kumimoji="1" lang="ja-JP" altLang="en-US" sz="1800" b="1">
              <a:latin typeface="BIZ UDPゴシック" panose="020B0400000000000000" pitchFamily="50" charset="-128"/>
              <a:ea typeface="BIZ UDPゴシック" panose="020B0400000000000000" pitchFamily="50" charset="-128"/>
            </a:rPr>
            <a:t>年度　福島市国民健康保険税　試算表　（概算）</a:t>
          </a:r>
          <a:endParaRPr kumimoji="1" lang="en-US" altLang="ja-JP" sz="1800" b="1">
            <a:latin typeface="BIZ UDPゴシック" panose="020B0400000000000000" pitchFamily="50" charset="-128"/>
            <a:ea typeface="BIZ UDPゴシック" panose="020B0400000000000000" pitchFamily="50" charset="-128"/>
          </a:endParaRPr>
        </a:p>
        <a:p>
          <a:endParaRPr kumimoji="1" lang="ja-JP" altLang="en-US" sz="1800" b="1"/>
        </a:p>
      </xdr:txBody>
    </xdr:sp>
    <xdr:clientData/>
  </xdr:twoCellAnchor>
  <xdr:twoCellAnchor editAs="oneCell">
    <xdr:from>
      <xdr:col>1</xdr:col>
      <xdr:colOff>47625</xdr:colOff>
      <xdr:row>0</xdr:row>
      <xdr:rowOff>93436</xdr:rowOff>
    </xdr:from>
    <xdr:to>
      <xdr:col>4</xdr:col>
      <xdr:colOff>327932</xdr:colOff>
      <xdr:row>0</xdr:row>
      <xdr:rowOff>398236</xdr:rowOff>
    </xdr:to>
    <xdr:pic>
      <xdr:nvPicPr>
        <xdr:cNvPr id="298" name="図 297">
          <a:extLst>
            <a:ext uri="{FF2B5EF4-FFF2-40B4-BE49-F238E27FC236}">
              <a16:creationId xmlns:a16="http://schemas.microsoft.com/office/drawing/2014/main" id="{00000000-0008-0000-0000-00002A010000}"/>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14325" y="93436"/>
          <a:ext cx="1819275" cy="304800"/>
        </a:xfrm>
        <a:prstGeom prst="rect">
          <a:avLst/>
        </a:prstGeom>
        <a:noFill/>
        <a:ln>
          <a:noFill/>
        </a:ln>
      </xdr:spPr>
    </xdr:pic>
    <xdr:clientData/>
  </xdr:twoCellAnchor>
  <xdr:twoCellAnchor>
    <xdr:from>
      <xdr:col>1</xdr:col>
      <xdr:colOff>76200</xdr:colOff>
      <xdr:row>0</xdr:row>
      <xdr:rowOff>893536</xdr:rowOff>
    </xdr:from>
    <xdr:to>
      <xdr:col>4</xdr:col>
      <xdr:colOff>85725</xdr:colOff>
      <xdr:row>0</xdr:row>
      <xdr:rowOff>1179286</xdr:rowOff>
    </xdr:to>
    <xdr:sp macro="" textlink="">
      <xdr:nvSpPr>
        <xdr:cNvPr id="301" name="フローチャート: 代替処理 300">
          <a:extLst>
            <a:ext uri="{FF2B5EF4-FFF2-40B4-BE49-F238E27FC236}">
              <a16:creationId xmlns:a16="http://schemas.microsoft.com/office/drawing/2014/main" id="{00000000-0008-0000-0000-00002D010000}"/>
            </a:ext>
          </a:extLst>
        </xdr:cNvPr>
        <xdr:cNvSpPr/>
      </xdr:nvSpPr>
      <xdr:spPr>
        <a:xfrm>
          <a:off x="337159" y="893536"/>
          <a:ext cx="1549182" cy="285750"/>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chemeClr val="tx1"/>
              </a:solidFill>
              <a:latin typeface="BIZ UDPゴシック" panose="020B0400000000000000" pitchFamily="50" charset="-128"/>
              <a:ea typeface="BIZ UDPゴシック" panose="020B0400000000000000" pitchFamily="50" charset="-128"/>
            </a:rPr>
            <a:t>１．はじめに行うこと</a:t>
          </a:r>
        </a:p>
      </xdr:txBody>
    </xdr:sp>
    <xdr:clientData/>
  </xdr:twoCellAnchor>
  <xdr:twoCellAnchor>
    <xdr:from>
      <xdr:col>1</xdr:col>
      <xdr:colOff>114300</xdr:colOff>
      <xdr:row>0</xdr:row>
      <xdr:rowOff>1274536</xdr:rowOff>
    </xdr:from>
    <xdr:to>
      <xdr:col>7</xdr:col>
      <xdr:colOff>266700</xdr:colOff>
      <xdr:row>0</xdr:row>
      <xdr:rowOff>1998436</xdr:rowOff>
    </xdr:to>
    <xdr:sp macro="" textlink="">
      <xdr:nvSpPr>
        <xdr:cNvPr id="302" name="角丸四角形 301">
          <a:extLst>
            <a:ext uri="{FF2B5EF4-FFF2-40B4-BE49-F238E27FC236}">
              <a16:creationId xmlns:a16="http://schemas.microsoft.com/office/drawing/2014/main" id="{00000000-0008-0000-0000-00002E010000}"/>
            </a:ext>
          </a:extLst>
        </xdr:cNvPr>
        <xdr:cNvSpPr/>
      </xdr:nvSpPr>
      <xdr:spPr>
        <a:xfrm>
          <a:off x="381000" y="1274536"/>
          <a:ext cx="4581525" cy="723900"/>
        </a:xfrm>
        <a:prstGeom prst="roundRect">
          <a:avLst/>
        </a:prstGeom>
        <a:solidFill>
          <a:schemeClr val="tx2">
            <a:lumMod val="20000"/>
            <a:lumOff val="8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いつから国民健康保険に加入するかを①に入力してください。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次に、試算したい方全員の生年月日を②に入力してください。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（どちらも入れることで、試算ができるようになります。）</a:t>
          </a:r>
        </a:p>
      </xdr:txBody>
    </xdr:sp>
    <xdr:clientData/>
  </xdr:twoCellAnchor>
  <xdr:twoCellAnchor>
    <xdr:from>
      <xdr:col>1</xdr:col>
      <xdr:colOff>95249</xdr:colOff>
      <xdr:row>0</xdr:row>
      <xdr:rowOff>2093686</xdr:rowOff>
    </xdr:from>
    <xdr:to>
      <xdr:col>5</xdr:col>
      <xdr:colOff>268940</xdr:colOff>
      <xdr:row>0</xdr:row>
      <xdr:rowOff>2379436</xdr:rowOff>
    </xdr:to>
    <xdr:sp macro="" textlink="">
      <xdr:nvSpPr>
        <xdr:cNvPr id="303" name="フローチャート: 代替処理 302">
          <a:extLst>
            <a:ext uri="{FF2B5EF4-FFF2-40B4-BE49-F238E27FC236}">
              <a16:creationId xmlns:a16="http://schemas.microsoft.com/office/drawing/2014/main" id="{00000000-0008-0000-0000-00002F010000}"/>
            </a:ext>
          </a:extLst>
        </xdr:cNvPr>
        <xdr:cNvSpPr/>
      </xdr:nvSpPr>
      <xdr:spPr>
        <a:xfrm>
          <a:off x="364190" y="2093686"/>
          <a:ext cx="2325221" cy="285750"/>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chemeClr val="tx1"/>
              </a:solidFill>
              <a:latin typeface="BIZ UDPゴシック" panose="020B0400000000000000" pitchFamily="50" charset="-128"/>
              <a:ea typeface="BIZ UDPゴシック" panose="020B0400000000000000" pitchFamily="50" charset="-128"/>
            </a:rPr>
            <a:t>２．非自発軽減の計算をする場合</a:t>
          </a:r>
        </a:p>
      </xdr:txBody>
    </xdr:sp>
    <xdr:clientData/>
  </xdr:twoCellAnchor>
  <xdr:twoCellAnchor>
    <xdr:from>
      <xdr:col>1</xdr:col>
      <xdr:colOff>89248</xdr:colOff>
      <xdr:row>0</xdr:row>
      <xdr:rowOff>3291083</xdr:rowOff>
    </xdr:from>
    <xdr:to>
      <xdr:col>5</xdr:col>
      <xdr:colOff>708373</xdr:colOff>
      <xdr:row>0</xdr:row>
      <xdr:rowOff>3576833</xdr:rowOff>
    </xdr:to>
    <xdr:sp macro="" textlink="">
      <xdr:nvSpPr>
        <xdr:cNvPr id="306" name="フローチャート: 代替処理 305">
          <a:extLst>
            <a:ext uri="{FF2B5EF4-FFF2-40B4-BE49-F238E27FC236}">
              <a16:creationId xmlns:a16="http://schemas.microsoft.com/office/drawing/2014/main" id="{00000000-0008-0000-0000-000032010000}"/>
            </a:ext>
          </a:extLst>
        </xdr:cNvPr>
        <xdr:cNvSpPr/>
      </xdr:nvSpPr>
      <xdr:spPr>
        <a:xfrm>
          <a:off x="350207" y="3291083"/>
          <a:ext cx="2772036" cy="285750"/>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chemeClr val="tx1"/>
              </a:solidFill>
              <a:latin typeface="BIZ UDPゴシック" panose="020B0400000000000000" pitchFamily="50" charset="-128"/>
              <a:ea typeface="BIZ UDPゴシック" panose="020B0400000000000000" pitchFamily="50" charset="-128"/>
            </a:rPr>
            <a:t>３．前年の収入がある方の試算をする場合</a:t>
          </a:r>
        </a:p>
      </xdr:txBody>
    </xdr:sp>
    <xdr:clientData/>
  </xdr:twoCellAnchor>
  <xdr:twoCellAnchor>
    <xdr:from>
      <xdr:col>1</xdr:col>
      <xdr:colOff>65873</xdr:colOff>
      <xdr:row>0</xdr:row>
      <xdr:rowOff>3653425</xdr:rowOff>
    </xdr:from>
    <xdr:to>
      <xdr:col>7</xdr:col>
      <xdr:colOff>404486</xdr:colOff>
      <xdr:row>8</xdr:row>
      <xdr:rowOff>521918</xdr:rowOff>
    </xdr:to>
    <xdr:sp macro="" textlink="">
      <xdr:nvSpPr>
        <xdr:cNvPr id="307" name="角丸四角形 306">
          <a:extLst>
            <a:ext uri="{FF2B5EF4-FFF2-40B4-BE49-F238E27FC236}">
              <a16:creationId xmlns:a16="http://schemas.microsoft.com/office/drawing/2014/main" id="{00000000-0008-0000-0000-000033010000}"/>
            </a:ext>
          </a:extLst>
        </xdr:cNvPr>
        <xdr:cNvSpPr/>
      </xdr:nvSpPr>
      <xdr:spPr>
        <a:xfrm>
          <a:off x="326832" y="3653425"/>
          <a:ext cx="4683579" cy="3431609"/>
        </a:xfrm>
        <a:prstGeom prst="roundRect">
          <a:avLst/>
        </a:prstGeom>
        <a:solidFill>
          <a:schemeClr val="accent2">
            <a:lumMod val="20000"/>
            <a:lumOff val="8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給与収入</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がある場合は、「</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④給与収入</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」の欄に源泉徴収票の支払金額、または申告書の給与収入金額を入力してください。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ja-JP" sz="1100" b="1" u="none">
              <a:solidFill>
                <a:sysClr val="windowText" lastClr="000000"/>
              </a:solidFill>
              <a:effectLst/>
              <a:latin typeface="BIZ UDPゴシック" panose="020B0400000000000000" pitchFamily="50" charset="-128"/>
              <a:ea typeface="BIZ UDPゴシック" panose="020B0400000000000000" pitchFamily="50" charset="-128"/>
              <a:cs typeface="+mn-cs"/>
            </a:rPr>
            <a:t>給与収入</a:t>
          </a:r>
          <a:r>
            <a:rPr kumimoji="1" lang="ja-JP" altLang="en-US" sz="1100" b="0" u="none">
              <a:solidFill>
                <a:sysClr val="windowText" lastClr="000000"/>
              </a:solidFill>
              <a:effectLst/>
              <a:latin typeface="BIZ UDPゴシック" panose="020B0400000000000000" pitchFamily="50" charset="-128"/>
              <a:ea typeface="BIZ UDPゴシック" panose="020B0400000000000000" pitchFamily="50" charset="-128"/>
              <a:cs typeface="+mn-cs"/>
            </a:rPr>
            <a:t>が</a:t>
          </a:r>
          <a:r>
            <a:rPr kumimoji="1" lang="ja-JP" altLang="en-US" sz="1100" b="1" u="sng">
              <a:solidFill>
                <a:sysClr val="windowText" lastClr="000000"/>
              </a:solidFill>
              <a:effectLst/>
              <a:latin typeface="BIZ UDPゴシック" panose="020B0400000000000000" pitchFamily="50" charset="-128"/>
              <a:ea typeface="BIZ UDPゴシック" panose="020B0400000000000000" pitchFamily="50" charset="-128"/>
              <a:cs typeface="+mn-cs"/>
            </a:rPr>
            <a:t>８５０万円を超え</a:t>
          </a:r>
          <a:r>
            <a:rPr kumimoji="1"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、適用対象者（次の</a:t>
          </a:r>
          <a:r>
            <a:rPr kumimoji="1"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1</a:t>
          </a:r>
          <a:r>
            <a:rPr kumimoji="1"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3</a:t>
          </a:r>
          <a:r>
            <a:rPr kumimoji="1"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のいずれかに該当する方）は 「</a:t>
          </a:r>
          <a:r>
            <a:rPr kumimoji="1" lang="ja-JP" altLang="en-US" sz="1100" b="1">
              <a:solidFill>
                <a:sysClr val="windowText" lastClr="000000"/>
              </a:solidFill>
              <a:effectLst/>
              <a:latin typeface="BIZ UDPゴシック" panose="020B0400000000000000" pitchFamily="50" charset="-128"/>
              <a:ea typeface="BIZ UDPゴシック" panose="020B0400000000000000" pitchFamily="50" charset="-128"/>
              <a:cs typeface="+mn-cs"/>
            </a:rPr>
            <a:t>⑤所得金額調整控除（子ども・特別障がい者等有する者等）</a:t>
          </a:r>
          <a:r>
            <a:rPr kumimoji="1"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」を「有」と入力してください。</a:t>
          </a:r>
          <a:endParaRPr kumimoji="1"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1.</a:t>
          </a:r>
          <a:r>
            <a:rPr kumimoji="1"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本人が特別障がい者　</a:t>
          </a:r>
          <a:endParaRPr kumimoji="1"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2.</a:t>
          </a:r>
          <a:r>
            <a:rPr kumimoji="1"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年齢</a:t>
          </a:r>
          <a:r>
            <a:rPr kumimoji="1"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23</a:t>
          </a:r>
          <a:r>
            <a:rPr kumimoji="1"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歳未満の扶養親族がいる　</a:t>
          </a:r>
          <a:endParaRPr kumimoji="1"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3.</a:t>
          </a:r>
          <a:r>
            <a:rPr kumimoji="1"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特別障がい者である同一生計配偶者・扶養親族がいる</a:t>
          </a:r>
          <a:endParaRPr kumimoji="1"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年金収入（公的年金）</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がある場合は、「</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⑥年金収入</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」の欄に源泉徴収票の支払金額、または申告書の年金収入の金額を入力してください。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営業・農業・不動産・その他の事業等の所得金額</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がある場合には、「</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⑦その他所得</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」欄に所得金額（収入金額－必要経費）を入力してください。</a:t>
          </a:r>
        </a:p>
      </xdr:txBody>
    </xdr:sp>
    <xdr:clientData/>
  </xdr:twoCellAnchor>
  <xdr:twoCellAnchor>
    <xdr:from>
      <xdr:col>51</xdr:col>
      <xdr:colOff>762001</xdr:colOff>
      <xdr:row>16</xdr:row>
      <xdr:rowOff>0</xdr:rowOff>
    </xdr:from>
    <xdr:to>
      <xdr:col>55</xdr:col>
      <xdr:colOff>918883</xdr:colOff>
      <xdr:row>19</xdr:row>
      <xdr:rowOff>22412</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36990619" y="10959353"/>
          <a:ext cx="3328146" cy="150158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26096</xdr:colOff>
      <xdr:row>4</xdr:row>
      <xdr:rowOff>358588</xdr:rowOff>
    </xdr:from>
    <xdr:to>
      <xdr:col>42</xdr:col>
      <xdr:colOff>11205</xdr:colOff>
      <xdr:row>5</xdr:row>
      <xdr:rowOff>352295</xdr:rowOff>
    </xdr:to>
    <xdr:sp macro="" textlink="">
      <xdr:nvSpPr>
        <xdr:cNvPr id="67" name="正方形/長方形 66">
          <a:extLst>
            <a:ext uri="{FF2B5EF4-FFF2-40B4-BE49-F238E27FC236}">
              <a16:creationId xmlns:a16="http://schemas.microsoft.com/office/drawing/2014/main" id="{00000000-0008-0000-0000-000043000000}"/>
            </a:ext>
          </a:extLst>
        </xdr:cNvPr>
        <xdr:cNvSpPr/>
      </xdr:nvSpPr>
      <xdr:spPr>
        <a:xfrm>
          <a:off x="31197637" y="5460335"/>
          <a:ext cx="1420383" cy="35904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33</xdr:col>
      <xdr:colOff>26096</xdr:colOff>
      <xdr:row>4</xdr:row>
      <xdr:rowOff>354586</xdr:rowOff>
    </xdr:from>
    <xdr:to>
      <xdr:col>34</xdr:col>
      <xdr:colOff>0</xdr:colOff>
      <xdr:row>6</xdr:row>
      <xdr:rowOff>22411</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a:xfrm>
          <a:off x="21672637" y="5456333"/>
          <a:ext cx="1252603" cy="39851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417534</xdr:colOff>
      <xdr:row>16</xdr:row>
      <xdr:rowOff>482774</xdr:rowOff>
    </xdr:from>
    <xdr:to>
      <xdr:col>26</xdr:col>
      <xdr:colOff>1396131</xdr:colOff>
      <xdr:row>33</xdr:row>
      <xdr:rowOff>274006</xdr:rowOff>
    </xdr:to>
    <xdr:sp macro="" textlink="">
      <xdr:nvSpPr>
        <xdr:cNvPr id="70" name="角丸四角形 57">
          <a:extLst>
            <a:ext uri="{FF2B5EF4-FFF2-40B4-BE49-F238E27FC236}">
              <a16:creationId xmlns:a16="http://schemas.microsoft.com/office/drawing/2014/main" id="{C4DDA81B-B559-447B-BC61-ED50A49FB8A3}"/>
            </a:ext>
          </a:extLst>
        </xdr:cNvPr>
        <xdr:cNvSpPr/>
      </xdr:nvSpPr>
      <xdr:spPr>
        <a:xfrm>
          <a:off x="10699315" y="11430000"/>
          <a:ext cx="4566782" cy="6315205"/>
        </a:xfrm>
        <a:prstGeom prst="roundRect">
          <a:avLst>
            <a:gd name="adj" fmla="val 9844"/>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99440" rIns="91440" bIns="18000" rtlCol="0" anchor="t"/>
        <a:lstStyle/>
        <a:p>
          <a:pPr algn="ctr"/>
          <a:r>
            <a:rPr kumimoji="1" lang="ja-JP" altLang="en-US" sz="1800" b="1">
              <a:solidFill>
                <a:sysClr val="windowText" lastClr="000000"/>
              </a:solidFill>
              <a:latin typeface="BIZ UDPゴシック" panose="020B0400000000000000" pitchFamily="50" charset="-128"/>
              <a:ea typeface="BIZ UDPゴシック" panose="020B0400000000000000" pitchFamily="50" charset="-128"/>
            </a:rPr>
            <a:t>試算前に必ずお読みください</a:t>
          </a:r>
          <a:endParaRPr kumimoji="1" lang="en-US" altLang="ja-JP" sz="1800" b="1">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lnSpc>
              <a:spcPts val="1300"/>
            </a:lnSpc>
            <a:spcBef>
              <a:spcPts val="0"/>
            </a:spcBef>
          </a:pPr>
          <a:r>
            <a:rPr kumimoji="1" lang="en-US" altLang="ja-JP" sz="115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50">
              <a:solidFill>
                <a:sysClr val="windowText" lastClr="000000"/>
              </a:solidFill>
              <a:latin typeface="BIZ UDPゴシック" panose="020B0400000000000000" pitchFamily="50" charset="-128"/>
              <a:ea typeface="BIZ UDPゴシック" panose="020B0400000000000000" pitchFamily="50" charset="-128"/>
            </a:rPr>
            <a:t>　令和７年７月に税率が決定するまでは令和</a:t>
          </a:r>
          <a:r>
            <a:rPr kumimoji="1" lang="en-US" altLang="ja-JP" sz="1150">
              <a:solidFill>
                <a:sysClr val="windowText" lastClr="000000"/>
              </a:solidFill>
              <a:latin typeface="BIZ UDPゴシック" panose="020B0400000000000000" pitchFamily="50" charset="-128"/>
              <a:ea typeface="BIZ UDPゴシック" panose="020B0400000000000000" pitchFamily="50" charset="-128"/>
            </a:rPr>
            <a:t>6</a:t>
          </a:r>
          <a:r>
            <a:rPr kumimoji="1" lang="ja-JP" altLang="en-US" sz="1150">
              <a:solidFill>
                <a:sysClr val="windowText" lastClr="000000"/>
              </a:solidFill>
              <a:latin typeface="BIZ UDPゴシック" panose="020B0400000000000000" pitchFamily="50" charset="-128"/>
              <a:ea typeface="BIZ UDPゴシック" panose="020B0400000000000000" pitchFamily="50" charset="-128"/>
            </a:rPr>
            <a:t>年度の税率をもとに計算しています。</a:t>
          </a:r>
          <a:endParaRPr kumimoji="1" lang="en-US" altLang="ja-JP" sz="1150">
            <a:solidFill>
              <a:sysClr val="windowText" lastClr="000000"/>
            </a:solidFill>
            <a:latin typeface="BIZ UDPゴシック" panose="020B0400000000000000" pitchFamily="50" charset="-128"/>
            <a:ea typeface="BIZ UDPゴシック" panose="020B0400000000000000" pitchFamily="50" charset="-128"/>
          </a:endParaRPr>
        </a:p>
        <a:p>
          <a:pPr algn="l">
            <a:lnSpc>
              <a:spcPts val="1300"/>
            </a:lnSpc>
            <a:spcBef>
              <a:spcPts val="0"/>
            </a:spcBef>
          </a:pPr>
          <a:endParaRPr kumimoji="1" lang="en-US" altLang="ja-JP" sz="1150">
            <a:solidFill>
              <a:sysClr val="windowText" lastClr="000000"/>
            </a:solidFill>
            <a:latin typeface="BIZ UDPゴシック" panose="020B0400000000000000" pitchFamily="50" charset="-128"/>
            <a:ea typeface="BIZ UDPゴシック" panose="020B0400000000000000" pitchFamily="50" charset="-128"/>
          </a:endParaRPr>
        </a:p>
        <a:p>
          <a:pPr algn="l">
            <a:lnSpc>
              <a:spcPts val="1300"/>
            </a:lnSpc>
            <a:spcBef>
              <a:spcPts val="0"/>
            </a:spcBef>
          </a:pPr>
          <a:r>
            <a:rPr kumimoji="1" lang="en-US" altLang="ja-JP" sz="115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5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50" b="1" u="sng">
              <a:solidFill>
                <a:sysClr val="windowText" lastClr="000000"/>
              </a:solidFill>
              <a:latin typeface="BIZ UDPゴシック" panose="020B0400000000000000" pitchFamily="50" charset="-128"/>
              <a:ea typeface="BIZ UDPゴシック" panose="020B0400000000000000" pitchFamily="50" charset="-128"/>
            </a:rPr>
            <a:t>一定所得以下の世帯に対する軽減割合分を反映していないため、試算結果は実際の金額よりも高い場合があります。</a:t>
          </a:r>
          <a:endParaRPr kumimoji="1" lang="en-US" altLang="ja-JP" sz="1150" b="1" u="sng">
            <a:solidFill>
              <a:sysClr val="windowText" lastClr="000000"/>
            </a:solidFill>
            <a:latin typeface="BIZ UDPゴシック" panose="020B0400000000000000" pitchFamily="50" charset="-128"/>
            <a:ea typeface="BIZ UDPゴシック" panose="020B0400000000000000" pitchFamily="50" charset="-128"/>
          </a:endParaRPr>
        </a:p>
        <a:p>
          <a:pPr algn="l">
            <a:lnSpc>
              <a:spcPts val="1300"/>
            </a:lnSpc>
            <a:spcBef>
              <a:spcPts val="0"/>
            </a:spcBef>
          </a:pPr>
          <a:endParaRPr kumimoji="1" lang="en-US" altLang="ja-JP" sz="1150">
            <a:solidFill>
              <a:sysClr val="windowText" lastClr="000000"/>
            </a:solidFill>
            <a:latin typeface="BIZ UDPゴシック" panose="020B0400000000000000" pitchFamily="50" charset="-128"/>
            <a:ea typeface="BIZ UDPゴシック" panose="020B0400000000000000" pitchFamily="50" charset="-128"/>
          </a:endParaRPr>
        </a:p>
        <a:p>
          <a:pPr algn="l">
            <a:lnSpc>
              <a:spcPts val="1300"/>
            </a:lnSpc>
            <a:spcBef>
              <a:spcPts val="0"/>
            </a:spcBef>
          </a:pPr>
          <a:r>
            <a:rPr kumimoji="1" lang="en-US" altLang="ja-JP" sz="115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50">
              <a:solidFill>
                <a:sysClr val="windowText" lastClr="000000"/>
              </a:solidFill>
              <a:latin typeface="BIZ UDPゴシック" panose="020B0400000000000000" pitchFamily="50" charset="-128"/>
              <a:ea typeface="BIZ UDPゴシック" panose="020B0400000000000000" pitchFamily="50" charset="-128"/>
            </a:rPr>
            <a:t>　試算結果は概算です。加入後、実際にお送りする納税通知書に記載の金額がお支払いいただく正しい金額となります。</a:t>
          </a:r>
        </a:p>
        <a:p>
          <a:pPr algn="l">
            <a:lnSpc>
              <a:spcPts val="1300"/>
            </a:lnSpc>
            <a:spcBef>
              <a:spcPts val="0"/>
            </a:spcBef>
          </a:pPr>
          <a:endParaRPr kumimoji="1" lang="en-US" altLang="ja-JP" sz="1150">
            <a:solidFill>
              <a:sysClr val="windowText" lastClr="000000"/>
            </a:solidFill>
            <a:latin typeface="BIZ UDPゴシック" panose="020B0400000000000000" pitchFamily="50" charset="-128"/>
            <a:ea typeface="BIZ UDPゴシック" panose="020B0400000000000000" pitchFamily="50" charset="-128"/>
          </a:endParaRPr>
        </a:p>
        <a:p>
          <a:pPr algn="l">
            <a:lnSpc>
              <a:spcPts val="1300"/>
            </a:lnSpc>
            <a:spcBef>
              <a:spcPts val="0"/>
            </a:spcBef>
          </a:pPr>
          <a:r>
            <a:rPr kumimoji="1" lang="en-US" altLang="ja-JP" sz="1150">
              <a:solidFill>
                <a:sysClr val="windowText" lastClr="000000"/>
              </a:solidFill>
              <a:latin typeface="BIZ UDPゴシック" panose="020B0400000000000000" pitchFamily="50" charset="-128"/>
              <a:ea typeface="BIZ UDPゴシック" panose="020B0400000000000000" pitchFamily="50" charset="-128"/>
            </a:rPr>
            <a:t>4</a:t>
          </a:r>
          <a:r>
            <a:rPr kumimoji="1" lang="ja-JP" altLang="en-US" sz="1150">
              <a:solidFill>
                <a:sysClr val="windowText" lastClr="000000"/>
              </a:solidFill>
              <a:latin typeface="BIZ UDPゴシック" panose="020B0400000000000000" pitchFamily="50" charset="-128"/>
              <a:ea typeface="BIZ UDPゴシック" panose="020B0400000000000000" pitchFamily="50" charset="-128"/>
            </a:rPr>
            <a:t>　１ヶ月あたりの税額と１期あたりの税額は異なります。</a:t>
          </a:r>
          <a:endParaRPr kumimoji="1" lang="en-US" altLang="ja-JP" sz="1150">
            <a:solidFill>
              <a:sysClr val="windowText" lastClr="000000"/>
            </a:solidFill>
            <a:latin typeface="BIZ UDPゴシック" panose="020B0400000000000000" pitchFamily="50" charset="-128"/>
            <a:ea typeface="BIZ UDPゴシック" panose="020B0400000000000000" pitchFamily="50" charset="-128"/>
          </a:endParaRPr>
        </a:p>
        <a:p>
          <a:pPr algn="l">
            <a:lnSpc>
              <a:spcPts val="1300"/>
            </a:lnSpc>
            <a:spcBef>
              <a:spcPts val="0"/>
            </a:spcBef>
          </a:pPr>
          <a:endParaRPr kumimoji="1" lang="en-US" altLang="ja-JP" sz="1150">
            <a:solidFill>
              <a:sysClr val="windowText" lastClr="000000"/>
            </a:solidFill>
            <a:latin typeface="BIZ UDPゴシック" panose="020B0400000000000000" pitchFamily="50" charset="-128"/>
            <a:ea typeface="BIZ UDPゴシック" panose="020B0400000000000000" pitchFamily="50" charset="-128"/>
          </a:endParaRPr>
        </a:p>
        <a:p>
          <a:pPr algn="l">
            <a:lnSpc>
              <a:spcPts val="1300"/>
            </a:lnSpc>
            <a:spcBef>
              <a:spcPts val="0"/>
            </a:spcBef>
          </a:pPr>
          <a:r>
            <a:rPr kumimoji="1" lang="en-US" altLang="ja-JP" sz="1150">
              <a:solidFill>
                <a:sysClr val="windowText" lastClr="000000"/>
              </a:solidFill>
              <a:latin typeface="BIZ UDPゴシック" panose="020B0400000000000000" pitchFamily="50" charset="-128"/>
              <a:ea typeface="BIZ UDPゴシック" panose="020B0400000000000000" pitchFamily="50" charset="-128"/>
            </a:rPr>
            <a:t>5</a:t>
          </a:r>
          <a:r>
            <a:rPr kumimoji="1" lang="ja-JP" altLang="en-US" sz="1150">
              <a:solidFill>
                <a:sysClr val="windowText" lastClr="000000"/>
              </a:solidFill>
              <a:latin typeface="BIZ UDPゴシック" panose="020B0400000000000000" pitchFamily="50" charset="-128"/>
              <a:ea typeface="BIZ UDPゴシック" panose="020B0400000000000000" pitchFamily="50" charset="-128"/>
            </a:rPr>
            <a:t>　基礎控除額は</a:t>
          </a:r>
          <a:r>
            <a:rPr kumimoji="1" lang="en-US" altLang="ja-JP" sz="1150">
              <a:solidFill>
                <a:sysClr val="windowText" lastClr="000000"/>
              </a:solidFill>
              <a:latin typeface="BIZ UDPゴシック" panose="020B0400000000000000" pitchFamily="50" charset="-128"/>
              <a:ea typeface="BIZ UDPゴシック" panose="020B0400000000000000" pitchFamily="50" charset="-128"/>
            </a:rPr>
            <a:t>43</a:t>
          </a:r>
          <a:r>
            <a:rPr kumimoji="1" lang="ja-JP" altLang="en-US" sz="1150">
              <a:solidFill>
                <a:sysClr val="windowText" lastClr="000000"/>
              </a:solidFill>
              <a:latin typeface="BIZ UDPゴシック" panose="020B0400000000000000" pitchFamily="50" charset="-128"/>
              <a:ea typeface="BIZ UDPゴシック" panose="020B0400000000000000" pitchFamily="50" charset="-128"/>
            </a:rPr>
            <a:t>万円で計算しています。（住民税の合計所得金額が</a:t>
          </a:r>
          <a:r>
            <a:rPr kumimoji="1" lang="en-US" altLang="ja-JP" sz="1150">
              <a:solidFill>
                <a:sysClr val="windowText" lastClr="000000"/>
              </a:solidFill>
              <a:latin typeface="BIZ UDPゴシック" panose="020B0400000000000000" pitchFamily="50" charset="-128"/>
              <a:ea typeface="BIZ UDPゴシック" panose="020B0400000000000000" pitchFamily="50" charset="-128"/>
            </a:rPr>
            <a:t>2,400</a:t>
          </a:r>
          <a:r>
            <a:rPr kumimoji="1" lang="ja-JP" altLang="en-US" sz="1150">
              <a:solidFill>
                <a:sysClr val="windowText" lastClr="000000"/>
              </a:solidFill>
              <a:latin typeface="BIZ UDPゴシック" panose="020B0400000000000000" pitchFamily="50" charset="-128"/>
              <a:ea typeface="BIZ UDPゴシック" panose="020B0400000000000000" pitchFamily="50" charset="-128"/>
            </a:rPr>
            <a:t>万円以下の方）</a:t>
          </a:r>
          <a:endParaRPr kumimoji="1" lang="en-US" altLang="ja-JP" sz="1150">
            <a:solidFill>
              <a:sysClr val="windowText" lastClr="000000"/>
            </a:solidFill>
            <a:latin typeface="BIZ UDPゴシック" panose="020B0400000000000000" pitchFamily="50" charset="-128"/>
            <a:ea typeface="BIZ UDPゴシック" panose="020B0400000000000000" pitchFamily="50" charset="-128"/>
          </a:endParaRPr>
        </a:p>
        <a:p>
          <a:pPr algn="l">
            <a:lnSpc>
              <a:spcPts val="1300"/>
            </a:lnSpc>
            <a:spcBef>
              <a:spcPts val="0"/>
            </a:spcBef>
          </a:pPr>
          <a:endParaRPr kumimoji="1" lang="en-US" altLang="ja-JP" sz="1150">
            <a:solidFill>
              <a:sysClr val="windowText" lastClr="000000"/>
            </a:solidFill>
            <a:latin typeface="BIZ UDPゴシック" panose="020B0400000000000000" pitchFamily="50" charset="-128"/>
            <a:ea typeface="BIZ UDPゴシック" panose="020B0400000000000000" pitchFamily="50" charset="-128"/>
          </a:endParaRPr>
        </a:p>
        <a:p>
          <a:pPr algn="l">
            <a:lnSpc>
              <a:spcPts val="1300"/>
            </a:lnSpc>
            <a:spcBef>
              <a:spcPts val="0"/>
            </a:spcBef>
          </a:pPr>
          <a:r>
            <a:rPr kumimoji="1" lang="en-US" altLang="ja-JP" sz="1150">
              <a:solidFill>
                <a:sysClr val="windowText" lastClr="000000"/>
              </a:solidFill>
              <a:latin typeface="BIZ UDPゴシック" panose="020B0400000000000000" pitchFamily="50" charset="-128"/>
              <a:ea typeface="BIZ UDPゴシック" panose="020B0400000000000000" pitchFamily="50" charset="-128"/>
            </a:rPr>
            <a:t>6</a:t>
          </a:r>
          <a:r>
            <a:rPr kumimoji="1" lang="ja-JP" altLang="en-US" sz="1150">
              <a:solidFill>
                <a:sysClr val="windowText" lastClr="000000"/>
              </a:solidFill>
              <a:latin typeface="BIZ UDPゴシック" panose="020B0400000000000000" pitchFamily="50" charset="-128"/>
              <a:ea typeface="BIZ UDPゴシック" panose="020B0400000000000000" pitchFamily="50" charset="-128"/>
            </a:rPr>
            <a:t>　試算した時点と、加入までの間に世帯構成、加入者数、所得の変更がある場合には、実際の税額と異なりますので、再度試算を行ってください。</a:t>
          </a:r>
          <a:endParaRPr kumimoji="1" lang="en-US" altLang="ja-JP" sz="1150">
            <a:solidFill>
              <a:sysClr val="windowText" lastClr="000000"/>
            </a:solidFill>
            <a:latin typeface="BIZ UDPゴシック" panose="020B0400000000000000" pitchFamily="50" charset="-128"/>
            <a:ea typeface="BIZ UDPゴシック" panose="020B0400000000000000" pitchFamily="50" charset="-128"/>
          </a:endParaRPr>
        </a:p>
        <a:p>
          <a:pPr algn="l">
            <a:lnSpc>
              <a:spcPts val="1300"/>
            </a:lnSpc>
            <a:spcBef>
              <a:spcPts val="0"/>
            </a:spcBef>
          </a:pPr>
          <a:endParaRPr kumimoji="1" lang="en-US" altLang="ja-JP" sz="1150">
            <a:solidFill>
              <a:sysClr val="windowText" lastClr="000000"/>
            </a:solidFill>
            <a:latin typeface="BIZ UDPゴシック" panose="020B0400000000000000" pitchFamily="50" charset="-128"/>
            <a:ea typeface="BIZ UDPゴシック" panose="020B0400000000000000" pitchFamily="50" charset="-128"/>
          </a:endParaRPr>
        </a:p>
        <a:p>
          <a:pPr algn="l">
            <a:lnSpc>
              <a:spcPts val="1300"/>
            </a:lnSpc>
            <a:spcBef>
              <a:spcPts val="0"/>
            </a:spcBef>
          </a:pPr>
          <a:r>
            <a:rPr kumimoji="1" lang="en-US" altLang="ja-JP" sz="1150">
              <a:solidFill>
                <a:sysClr val="windowText" lastClr="000000"/>
              </a:solidFill>
              <a:latin typeface="BIZ UDPゴシック" panose="020B0400000000000000" pitchFamily="50" charset="-128"/>
              <a:ea typeface="BIZ UDPゴシック" panose="020B0400000000000000" pitchFamily="50" charset="-128"/>
            </a:rPr>
            <a:t>7</a:t>
          </a:r>
          <a:r>
            <a:rPr kumimoji="1" lang="ja-JP" altLang="en-US" sz="1150">
              <a:solidFill>
                <a:sysClr val="windowText" lastClr="000000"/>
              </a:solidFill>
              <a:latin typeface="BIZ UDPゴシック" panose="020B0400000000000000" pitchFamily="50" charset="-128"/>
              <a:ea typeface="BIZ UDPゴシック" panose="020B0400000000000000" pitchFamily="50" charset="-128"/>
            </a:rPr>
            <a:t>　未就学児（令和</a:t>
          </a:r>
          <a:r>
            <a:rPr kumimoji="1" lang="en-US" altLang="ja-JP" sz="1150">
              <a:solidFill>
                <a:sysClr val="windowText" lastClr="000000"/>
              </a:solidFill>
              <a:latin typeface="BIZ UDPゴシック" panose="020B0400000000000000" pitchFamily="50" charset="-128"/>
              <a:ea typeface="BIZ UDPゴシック" panose="020B0400000000000000" pitchFamily="50" charset="-128"/>
            </a:rPr>
            <a:t>7</a:t>
          </a:r>
          <a:r>
            <a:rPr kumimoji="1" lang="ja-JP" altLang="en-US" sz="1150">
              <a:solidFill>
                <a:sysClr val="windowText" lastClr="000000"/>
              </a:solidFill>
              <a:latin typeface="BIZ UDPゴシック" panose="020B0400000000000000" pitchFamily="50" charset="-128"/>
              <a:ea typeface="BIZ UDPゴシック" panose="020B0400000000000000" pitchFamily="50" charset="-128"/>
            </a:rPr>
            <a:t>年度は平成</a:t>
          </a:r>
          <a:r>
            <a:rPr kumimoji="1" lang="en-US" altLang="ja-JP" sz="1150">
              <a:solidFill>
                <a:sysClr val="windowText" lastClr="000000"/>
              </a:solidFill>
              <a:latin typeface="BIZ UDPゴシック" panose="020B0400000000000000" pitchFamily="50" charset="-128"/>
              <a:ea typeface="BIZ UDPゴシック" panose="020B0400000000000000" pitchFamily="50" charset="-128"/>
            </a:rPr>
            <a:t>31</a:t>
          </a:r>
          <a:r>
            <a:rPr kumimoji="1" lang="ja-JP" altLang="en-US" sz="1150">
              <a:solidFill>
                <a:sysClr val="windowText" lastClr="000000"/>
              </a:solidFill>
              <a:latin typeface="BIZ UDPゴシック" panose="020B0400000000000000" pitchFamily="50" charset="-128"/>
              <a:ea typeface="BIZ UDPゴシック" panose="020B0400000000000000" pitchFamily="50" charset="-128"/>
            </a:rPr>
            <a:t>年４月２日以降生まれの方）の均等割額は半額で計算されます。</a:t>
          </a:r>
        </a:p>
        <a:p>
          <a:pPr algn="l">
            <a:lnSpc>
              <a:spcPts val="1300"/>
            </a:lnSpc>
            <a:spcBef>
              <a:spcPts val="0"/>
            </a:spcBef>
          </a:pPr>
          <a:endParaRPr kumimoji="1" lang="en-US" altLang="ja-JP" sz="1150">
            <a:solidFill>
              <a:sysClr val="windowText" lastClr="000000"/>
            </a:solidFill>
            <a:latin typeface="BIZ UDPゴシック" panose="020B0400000000000000" pitchFamily="50" charset="-128"/>
            <a:ea typeface="BIZ UDPゴシック" panose="020B0400000000000000" pitchFamily="50" charset="-128"/>
          </a:endParaRPr>
        </a:p>
        <a:p>
          <a:pPr algn="l">
            <a:lnSpc>
              <a:spcPts val="1300"/>
            </a:lnSpc>
            <a:spcBef>
              <a:spcPts val="0"/>
            </a:spcBef>
          </a:pPr>
          <a:r>
            <a:rPr kumimoji="1" lang="en-US" altLang="ja-JP" sz="1150">
              <a:solidFill>
                <a:sysClr val="windowText" lastClr="000000"/>
              </a:solidFill>
              <a:latin typeface="BIZ UDPゴシック" panose="020B0400000000000000" pitchFamily="50" charset="-128"/>
              <a:ea typeface="BIZ UDPゴシック" panose="020B0400000000000000" pitchFamily="50" charset="-128"/>
            </a:rPr>
            <a:t>8</a:t>
          </a:r>
          <a:r>
            <a:rPr kumimoji="1" lang="ja-JP" altLang="en-US" sz="1150">
              <a:solidFill>
                <a:sysClr val="windowText" lastClr="000000"/>
              </a:solidFill>
              <a:latin typeface="BIZ UDPゴシック" panose="020B0400000000000000" pitchFamily="50" charset="-128"/>
              <a:ea typeface="BIZ UDPゴシック" panose="020B0400000000000000" pitchFamily="50" charset="-128"/>
            </a:rPr>
            <a:t>　１８歳以下の子どもが２人以上いる場合、２人目以降の均等割額分が減免されます。（令和</a:t>
          </a:r>
          <a:r>
            <a:rPr kumimoji="1" lang="en-US" altLang="ja-JP" sz="1150">
              <a:solidFill>
                <a:sysClr val="windowText" lastClr="000000"/>
              </a:solidFill>
              <a:latin typeface="BIZ UDPゴシック" panose="020B0400000000000000" pitchFamily="50" charset="-128"/>
              <a:ea typeface="BIZ UDPゴシック" panose="020B0400000000000000" pitchFamily="50" charset="-128"/>
            </a:rPr>
            <a:t>7</a:t>
          </a:r>
          <a:r>
            <a:rPr kumimoji="1" lang="ja-JP" altLang="en-US" sz="1150">
              <a:solidFill>
                <a:sysClr val="windowText" lastClr="000000"/>
              </a:solidFill>
              <a:latin typeface="BIZ UDPゴシック" panose="020B0400000000000000" pitchFamily="50" charset="-128"/>
              <a:ea typeface="BIZ UDPゴシック" panose="020B0400000000000000" pitchFamily="50" charset="-128"/>
            </a:rPr>
            <a:t>年度は</a:t>
          </a:r>
          <a:r>
            <a:rPr kumimoji="1" lang="ja-JP" altLang="en-US" sz="1150" b="1" u="sng">
              <a:solidFill>
                <a:sysClr val="windowText" lastClr="000000"/>
              </a:solidFill>
              <a:latin typeface="BIZ UDPゴシック" panose="020B0400000000000000" pitchFamily="50" charset="-128"/>
              <a:ea typeface="BIZ UDPゴシック" panose="020B0400000000000000" pitchFamily="50" charset="-128"/>
            </a:rPr>
            <a:t>平成１</a:t>
          </a:r>
          <a:r>
            <a:rPr kumimoji="1" lang="en-US" altLang="ja-JP" sz="1150" b="1" u="sng">
              <a:solidFill>
                <a:sysClr val="windowText" lastClr="000000"/>
              </a:solidFill>
              <a:latin typeface="BIZ UDPゴシック" panose="020B0400000000000000" pitchFamily="50" charset="-128"/>
              <a:ea typeface="BIZ UDPゴシック" panose="020B0400000000000000" pitchFamily="50" charset="-128"/>
            </a:rPr>
            <a:t>9</a:t>
          </a:r>
          <a:r>
            <a:rPr kumimoji="1" lang="ja-JP" altLang="en-US" sz="1150" b="1" u="sng">
              <a:solidFill>
                <a:sysClr val="windowText" lastClr="000000"/>
              </a:solidFill>
              <a:latin typeface="BIZ UDPゴシック" panose="020B0400000000000000" pitchFamily="50" charset="-128"/>
              <a:ea typeface="BIZ UDPゴシック" panose="020B0400000000000000" pitchFamily="50" charset="-128"/>
            </a:rPr>
            <a:t>年４月２日以降生まれの方</a:t>
          </a:r>
          <a:r>
            <a:rPr kumimoji="1" lang="ja-JP" altLang="en-US" sz="1150">
              <a:solidFill>
                <a:sysClr val="windowText" lastClr="000000"/>
              </a:solidFill>
              <a:latin typeface="BIZ UDPゴシック" panose="020B0400000000000000" pitchFamily="50" charset="-128"/>
              <a:ea typeface="BIZ UDPゴシック" panose="020B0400000000000000" pitchFamily="50" charset="-128"/>
            </a:rPr>
            <a:t>を１８歳以下としています。）　</a:t>
          </a:r>
          <a:endParaRPr kumimoji="1" lang="en-US" altLang="ja-JP" sz="1150">
            <a:solidFill>
              <a:sysClr val="windowText" lastClr="000000"/>
            </a:solidFill>
            <a:latin typeface="BIZ UDPゴシック" panose="020B0400000000000000" pitchFamily="50" charset="-128"/>
            <a:ea typeface="BIZ UDPゴシック" panose="020B0400000000000000" pitchFamily="50" charset="-128"/>
          </a:endParaRPr>
        </a:p>
        <a:p>
          <a:pPr algn="l">
            <a:lnSpc>
              <a:spcPts val="1300"/>
            </a:lnSpc>
            <a:spcBef>
              <a:spcPts val="0"/>
            </a:spcBef>
          </a:pPr>
          <a:r>
            <a:rPr kumimoji="1" lang="en-US" altLang="ja-JP" sz="1150">
              <a:solidFill>
                <a:sysClr val="windowText" lastClr="000000"/>
              </a:solidFill>
              <a:latin typeface="BIZ UDPゴシック" panose="020B0400000000000000" pitchFamily="50" charset="-128"/>
              <a:ea typeface="BIZ UDPゴシック" panose="020B0400000000000000" pitchFamily="50" charset="-128"/>
            </a:rPr>
            <a:t>  </a:t>
          </a:r>
        </a:p>
        <a:p>
          <a:pPr algn="l">
            <a:lnSpc>
              <a:spcPts val="1300"/>
            </a:lnSpc>
            <a:spcBef>
              <a:spcPts val="0"/>
            </a:spcBef>
          </a:pPr>
          <a:r>
            <a:rPr kumimoji="1" lang="en-US" altLang="ja-JP" sz="1150">
              <a:solidFill>
                <a:sysClr val="windowText" lastClr="000000"/>
              </a:solidFill>
              <a:latin typeface="BIZ UDPゴシック" panose="020B0400000000000000" pitchFamily="50" charset="-128"/>
              <a:ea typeface="BIZ UDPゴシック" panose="020B0400000000000000" pitchFamily="50" charset="-128"/>
            </a:rPr>
            <a:t>9</a:t>
          </a:r>
          <a:r>
            <a:rPr kumimoji="1" lang="ja-JP" altLang="en-US" sz="1150">
              <a:solidFill>
                <a:sysClr val="windowText" lastClr="000000"/>
              </a:solidFill>
              <a:latin typeface="BIZ UDPゴシック" panose="020B0400000000000000" pitchFamily="50" charset="-128"/>
              <a:ea typeface="BIZ UDPゴシック" panose="020B0400000000000000" pitchFamily="50" charset="-128"/>
            </a:rPr>
            <a:t>　７５歳以上の方の保険料（後期高齢者医療保険料）は算定できません。</a:t>
          </a:r>
          <a:endParaRPr kumimoji="1" lang="en-US" altLang="ja-JP" sz="115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18</xdr:col>
      <xdr:colOff>26095</xdr:colOff>
      <xdr:row>17</xdr:row>
      <xdr:rowOff>136060</xdr:rowOff>
    </xdr:from>
    <xdr:to>
      <xdr:col>26</xdr:col>
      <xdr:colOff>1330890</xdr:colOff>
      <xdr:row>17</xdr:row>
      <xdr:rowOff>495821</xdr:rowOff>
    </xdr:to>
    <xdr:grpSp>
      <xdr:nvGrpSpPr>
        <xdr:cNvPr id="72" name="グループ化 71">
          <a:extLst>
            <a:ext uri="{FF2B5EF4-FFF2-40B4-BE49-F238E27FC236}">
              <a16:creationId xmlns:a16="http://schemas.microsoft.com/office/drawing/2014/main" id="{28359A64-CFF8-4353-9398-0CB53B48C5F2}"/>
            </a:ext>
          </a:extLst>
        </xdr:cNvPr>
        <xdr:cNvGrpSpPr/>
      </xdr:nvGrpSpPr>
      <xdr:grpSpPr>
        <a:xfrm>
          <a:off x="11061488" y="11579667"/>
          <a:ext cx="4243938" cy="359761"/>
          <a:chOff x="11011394" y="12430273"/>
          <a:chExt cx="4192487" cy="384377"/>
        </a:xfrm>
      </xdr:grpSpPr>
      <xdr:pic>
        <xdr:nvPicPr>
          <xdr:cNvPr id="73" name="図 72">
            <a:extLst>
              <a:ext uri="{FF2B5EF4-FFF2-40B4-BE49-F238E27FC236}">
                <a16:creationId xmlns:a16="http://schemas.microsoft.com/office/drawing/2014/main" id="{597B2C05-53AA-490E-8467-3CE22ACAFE39}"/>
              </a:ext>
            </a:extLst>
          </xdr:cNvPr>
          <xdr:cNvPicPr>
            <a:picLocks noChangeAspect="1"/>
          </xdr:cNvPicPr>
        </xdr:nvPicPr>
        <xdr:blipFill>
          <a:blip xmlns:r="http://schemas.openxmlformats.org/officeDocument/2006/relationships" r:embed="rId7"/>
          <a:stretch>
            <a:fillRect/>
          </a:stretch>
        </xdr:blipFill>
        <xdr:spPr>
          <a:xfrm>
            <a:off x="11011394" y="12450534"/>
            <a:ext cx="405006" cy="343943"/>
          </a:xfrm>
          <a:prstGeom prst="rect">
            <a:avLst/>
          </a:prstGeom>
        </xdr:spPr>
      </xdr:pic>
      <xdr:pic>
        <xdr:nvPicPr>
          <xdr:cNvPr id="74" name="図 73">
            <a:extLst>
              <a:ext uri="{FF2B5EF4-FFF2-40B4-BE49-F238E27FC236}">
                <a16:creationId xmlns:a16="http://schemas.microsoft.com/office/drawing/2014/main" id="{15F5E88A-4E88-431D-AF7E-A6C98A2AAB3D}"/>
              </a:ext>
            </a:extLst>
          </xdr:cNvPr>
          <xdr:cNvPicPr>
            <a:picLocks noChangeAspect="1"/>
          </xdr:cNvPicPr>
        </xdr:nvPicPr>
        <xdr:blipFill>
          <a:blip xmlns:r="http://schemas.openxmlformats.org/officeDocument/2006/relationships" r:embed="rId7"/>
          <a:stretch>
            <a:fillRect/>
          </a:stretch>
        </xdr:blipFill>
        <xdr:spPr>
          <a:xfrm>
            <a:off x="14751259" y="12430273"/>
            <a:ext cx="452622" cy="384377"/>
          </a:xfrm>
          <a:prstGeom prst="rect">
            <a:avLst/>
          </a:prstGeom>
        </xdr:spPr>
      </xdr:pic>
    </xdr:grpSp>
    <xdr:clientData/>
  </xdr:twoCellAnchor>
  <xdr:twoCellAnchor>
    <xdr:from>
      <xdr:col>58</xdr:col>
      <xdr:colOff>0</xdr:colOff>
      <xdr:row>14</xdr:row>
      <xdr:rowOff>470647</xdr:rowOff>
    </xdr:from>
    <xdr:to>
      <xdr:col>59</xdr:col>
      <xdr:colOff>0</xdr:colOff>
      <xdr:row>18</xdr:row>
      <xdr:rowOff>-1</xdr:rowOff>
    </xdr:to>
    <xdr:sp macro="" textlink="">
      <xdr:nvSpPr>
        <xdr:cNvPr id="75" name="正方形/長方形 74">
          <a:extLst>
            <a:ext uri="{FF2B5EF4-FFF2-40B4-BE49-F238E27FC236}">
              <a16:creationId xmlns:a16="http://schemas.microsoft.com/office/drawing/2014/main" id="{BC6FF144-9BCE-4B80-AA72-C6BB7EF15AF4}"/>
            </a:ext>
          </a:extLst>
        </xdr:cNvPr>
        <xdr:cNvSpPr/>
      </xdr:nvSpPr>
      <xdr:spPr>
        <a:xfrm>
          <a:off x="42190147" y="10443882"/>
          <a:ext cx="930088" cy="150158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11206</xdr:colOff>
      <xdr:row>62</xdr:row>
      <xdr:rowOff>11205</xdr:rowOff>
    </xdr:from>
    <xdr:to>
      <xdr:col>32</xdr:col>
      <xdr:colOff>11206</xdr:colOff>
      <xdr:row>63</xdr:row>
      <xdr:rowOff>22411</xdr:rowOff>
    </xdr:to>
    <xdr:sp macro="" textlink="">
      <xdr:nvSpPr>
        <xdr:cNvPr id="77" name="正方形/長方形 76">
          <a:extLst>
            <a:ext uri="{FF2B5EF4-FFF2-40B4-BE49-F238E27FC236}">
              <a16:creationId xmlns:a16="http://schemas.microsoft.com/office/drawing/2014/main" id="{A2F8B782-E2FE-47A7-80B2-350C5AB59656}"/>
            </a:ext>
          </a:extLst>
        </xdr:cNvPr>
        <xdr:cNvSpPr/>
      </xdr:nvSpPr>
      <xdr:spPr>
        <a:xfrm>
          <a:off x="18590559" y="28373293"/>
          <a:ext cx="862853" cy="33617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156575</xdr:colOff>
      <xdr:row>19</xdr:row>
      <xdr:rowOff>78285</xdr:rowOff>
    </xdr:from>
    <xdr:to>
      <xdr:col>10</xdr:col>
      <xdr:colOff>195719</xdr:colOff>
      <xdr:row>22</xdr:row>
      <xdr:rowOff>169622</xdr:rowOff>
    </xdr:to>
    <xdr:sp macro="" textlink="">
      <xdr:nvSpPr>
        <xdr:cNvPr id="42" name="角丸四角形吹き出し 3">
          <a:extLst>
            <a:ext uri="{FF2B5EF4-FFF2-40B4-BE49-F238E27FC236}">
              <a16:creationId xmlns:a16="http://schemas.microsoft.com/office/drawing/2014/main" id="{88DFEF71-0337-4A54-A061-6D88F1F951CE}"/>
            </a:ext>
          </a:extLst>
        </xdr:cNvPr>
        <xdr:cNvSpPr/>
      </xdr:nvSpPr>
      <xdr:spPr>
        <a:xfrm>
          <a:off x="156575" y="12512977"/>
          <a:ext cx="7345993" cy="991645"/>
        </a:xfrm>
        <a:prstGeom prst="wedgeRoundRectCallout">
          <a:avLst>
            <a:gd name="adj1" fmla="val 22483"/>
            <a:gd name="adj2" fmla="val -64253"/>
            <a:gd name="adj3" fmla="val 16667"/>
          </a:avLst>
        </a:prstGeom>
        <a:solidFill>
          <a:srgbClr val="F79646">
            <a:lumMod val="20000"/>
            <a:lumOff val="80000"/>
          </a:srgbClr>
        </a:solidFill>
        <a:ln w="9525" cap="flat" cmpd="sng" algn="ctr">
          <a:solidFill>
            <a:srgbClr val="F79646"/>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※⑤</a:t>
          </a:r>
          <a:r>
            <a:rPr kumimoji="1" lang="ja-JP" altLang="en-US"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所得金額調整控除（子ども・特別障がい者等を有する者等）欄は</a:t>
          </a:r>
          <a:r>
            <a:rPr kumimoji="1" lang="ja-JP" altLang="en-US" sz="12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給与収入が</a:t>
          </a:r>
          <a:r>
            <a:rPr kumimoji="1" lang="en-US" altLang="ja-JP" sz="12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850</a:t>
          </a:r>
          <a:r>
            <a:rPr kumimoji="1" lang="ja-JP" altLang="en-US" sz="12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万円を超え</a:t>
          </a:r>
          <a:r>
            <a:rPr kumimoji="1" lang="ja-JP" altLang="en-US"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、適用対象者の方 （</a:t>
          </a:r>
          <a:r>
            <a:rPr kumimoji="1" lang="en-US" altLang="ja-JP"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本人が特別障がい者である場合　</a:t>
          </a:r>
          <a:r>
            <a:rPr kumimoji="1" lang="en-US" altLang="ja-JP"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年齢</a:t>
          </a:r>
          <a:r>
            <a:rPr kumimoji="1" lang="en-US" altLang="ja-JP"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23</a:t>
          </a:r>
          <a:r>
            <a:rPr kumimoji="1" lang="ja-JP" altLang="en-US"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歳未満の扶養親族がいる場合　</a:t>
          </a:r>
          <a:r>
            <a:rPr kumimoji="1" lang="en-US" altLang="ja-JP"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特別障がい者である同一生計配偶者・扶養親族がいる場合）のみ「有」を選択してください。</a:t>
          </a:r>
        </a:p>
      </xdr:txBody>
    </xdr:sp>
    <xdr:clientData/>
  </xdr:twoCellAnchor>
  <xdr:twoCellAnchor editAs="oneCell">
    <xdr:from>
      <xdr:col>23</xdr:col>
      <xdr:colOff>52192</xdr:colOff>
      <xdr:row>0</xdr:row>
      <xdr:rowOff>587158</xdr:rowOff>
    </xdr:from>
    <xdr:to>
      <xdr:col>26</xdr:col>
      <xdr:colOff>1186549</xdr:colOff>
      <xdr:row>0</xdr:row>
      <xdr:rowOff>1526610</xdr:rowOff>
    </xdr:to>
    <xdr:pic>
      <xdr:nvPicPr>
        <xdr:cNvPr id="44" name="図 43">
          <a:extLst>
            <a:ext uri="{FF2B5EF4-FFF2-40B4-BE49-F238E27FC236}">
              <a16:creationId xmlns:a16="http://schemas.microsoft.com/office/drawing/2014/main" id="{0080C644-70B5-4303-88EA-C72C6904FDC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2773939" y="587158"/>
          <a:ext cx="2282576" cy="939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320387</xdr:colOff>
      <xdr:row>2</xdr:row>
      <xdr:rowOff>230085</xdr:rowOff>
    </xdr:from>
    <xdr:to>
      <xdr:col>27</xdr:col>
      <xdr:colOff>295929</xdr:colOff>
      <xdr:row>25</xdr:row>
      <xdr:rowOff>48620</xdr:rowOff>
    </xdr:to>
    <xdr:pic>
      <xdr:nvPicPr>
        <xdr:cNvPr id="18" name="図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81705" y="714994"/>
          <a:ext cx="6626307" cy="4069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8163</xdr:colOff>
      <xdr:row>43</xdr:row>
      <xdr:rowOff>167360</xdr:rowOff>
    </xdr:from>
    <xdr:to>
      <xdr:col>16</xdr:col>
      <xdr:colOff>585107</xdr:colOff>
      <xdr:row>54</xdr:row>
      <xdr:rowOff>123264</xdr:rowOff>
    </xdr:to>
    <xdr:sp macro="" textlink="">
      <xdr:nvSpPr>
        <xdr:cNvPr id="50" name="角丸四角形 49">
          <a:extLst>
            <a:ext uri="{FF2B5EF4-FFF2-40B4-BE49-F238E27FC236}">
              <a16:creationId xmlns:a16="http://schemas.microsoft.com/office/drawing/2014/main" id="{00000000-0008-0000-0100-000032000000}"/>
            </a:ext>
          </a:extLst>
        </xdr:cNvPr>
        <xdr:cNvSpPr/>
      </xdr:nvSpPr>
      <xdr:spPr>
        <a:xfrm>
          <a:off x="4725839" y="7350331"/>
          <a:ext cx="4902415" cy="1726433"/>
        </a:xfrm>
        <a:prstGeom prst="roundRect">
          <a:avLst/>
        </a:prstGeom>
        <a:solidFill>
          <a:schemeClr val="accent2">
            <a:lumMod val="40000"/>
            <a:lumOff val="60000"/>
            <a:alpha val="38000"/>
          </a:schemeClr>
        </a:solidFill>
        <a:ln>
          <a:solidFill>
            <a:schemeClr val="accent2">
              <a:lumMod val="40000"/>
              <a:lumOff val="60000"/>
              <a:alpha val="22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明朝" pitchFamily="17" charset="-128"/>
              <a:ea typeface="ＭＳ 明朝" pitchFamily="17" charset="-128"/>
            </a:rPr>
            <a:t>給与収入</a:t>
          </a:r>
          <a:r>
            <a:rPr kumimoji="1" lang="ja-JP" altLang="en-US" sz="1100" b="0">
              <a:solidFill>
                <a:schemeClr val="tx1"/>
              </a:solidFill>
              <a:latin typeface="ＭＳ 明朝" pitchFamily="17" charset="-128"/>
              <a:ea typeface="ＭＳ 明朝" pitchFamily="17" charset="-128"/>
            </a:rPr>
            <a:t>がある場合は、「</a:t>
          </a:r>
          <a:r>
            <a:rPr kumimoji="1" lang="ja-JP" altLang="en-US" sz="1100" b="1">
              <a:solidFill>
                <a:schemeClr val="tx1"/>
              </a:solidFill>
              <a:latin typeface="ＭＳ 明朝" pitchFamily="17" charset="-128"/>
              <a:ea typeface="ＭＳ 明朝" pitchFamily="17" charset="-128"/>
            </a:rPr>
            <a:t>④給与収入</a:t>
          </a:r>
          <a:r>
            <a:rPr kumimoji="1" lang="ja-JP" altLang="en-US" sz="1100" b="0">
              <a:solidFill>
                <a:schemeClr val="tx1"/>
              </a:solidFill>
              <a:latin typeface="ＭＳ 明朝" pitchFamily="17" charset="-128"/>
              <a:ea typeface="ＭＳ 明朝" pitchFamily="17" charset="-128"/>
            </a:rPr>
            <a:t>」の欄に源泉徴収票の支払金額、もしくは申告書の給与収入金額を入力してください。</a:t>
          </a:r>
          <a:endParaRPr kumimoji="1" lang="en-US" altLang="ja-JP" sz="1100" b="0">
            <a:solidFill>
              <a:schemeClr val="tx1"/>
            </a:solidFill>
            <a:latin typeface="ＭＳ 明朝" pitchFamily="17" charset="-128"/>
            <a:ea typeface="ＭＳ 明朝" pitchFamily="17" charset="-128"/>
          </a:endParaRPr>
        </a:p>
        <a:p>
          <a:pPr algn="l"/>
          <a:endParaRPr kumimoji="1" lang="en-US" altLang="ja-JP" sz="1100" b="0">
            <a:solidFill>
              <a:schemeClr val="tx1"/>
            </a:solidFill>
            <a:latin typeface="ＭＳ 明朝" pitchFamily="17" charset="-128"/>
            <a:ea typeface="ＭＳ 明朝" pitchFamily="17" charset="-128"/>
          </a:endParaRPr>
        </a:p>
        <a:p>
          <a:pPr algn="l"/>
          <a:r>
            <a:rPr kumimoji="1" lang="ja-JP" altLang="en-US" sz="1100" b="1">
              <a:solidFill>
                <a:schemeClr val="tx1"/>
              </a:solidFill>
              <a:latin typeface="ＭＳ 明朝" pitchFamily="17" charset="-128"/>
              <a:ea typeface="ＭＳ 明朝" pitchFamily="17" charset="-128"/>
            </a:rPr>
            <a:t>年金収入（公的年金）</a:t>
          </a:r>
          <a:r>
            <a:rPr kumimoji="1" lang="ja-JP" altLang="en-US" sz="1100" b="0">
              <a:solidFill>
                <a:schemeClr val="tx1"/>
              </a:solidFill>
              <a:latin typeface="ＭＳ 明朝" pitchFamily="17" charset="-128"/>
              <a:ea typeface="ＭＳ 明朝" pitchFamily="17" charset="-128"/>
            </a:rPr>
            <a:t>がある場合は、「</a:t>
          </a:r>
          <a:r>
            <a:rPr kumimoji="1" lang="ja-JP" altLang="en-US" sz="1100" b="1">
              <a:solidFill>
                <a:schemeClr val="tx1"/>
              </a:solidFill>
              <a:latin typeface="ＭＳ 明朝" pitchFamily="17" charset="-128"/>
              <a:ea typeface="ＭＳ 明朝" pitchFamily="17" charset="-128"/>
            </a:rPr>
            <a:t>⑤年金収入</a:t>
          </a:r>
          <a:r>
            <a:rPr kumimoji="1" lang="ja-JP" altLang="en-US" sz="1100" b="0">
              <a:solidFill>
                <a:schemeClr val="tx1"/>
              </a:solidFill>
              <a:latin typeface="ＭＳ 明朝" pitchFamily="17" charset="-128"/>
              <a:ea typeface="ＭＳ 明朝" pitchFamily="17" charset="-128"/>
            </a:rPr>
            <a:t>」の欄に源泉徴収票の支払金額、もしくは申告書の年金収入の金額を入力してください。</a:t>
          </a:r>
          <a:endParaRPr kumimoji="1" lang="en-US" altLang="ja-JP" sz="1100" b="0">
            <a:solidFill>
              <a:schemeClr val="tx1"/>
            </a:solidFill>
            <a:latin typeface="ＭＳ 明朝" pitchFamily="17" charset="-128"/>
            <a:ea typeface="ＭＳ 明朝" pitchFamily="17" charset="-128"/>
          </a:endParaRPr>
        </a:p>
        <a:p>
          <a:pPr algn="l"/>
          <a:endParaRPr kumimoji="1" lang="en-US" altLang="ja-JP" sz="1100" b="0">
            <a:solidFill>
              <a:schemeClr val="tx1"/>
            </a:solidFill>
            <a:latin typeface="ＭＳ 明朝" pitchFamily="17" charset="-128"/>
            <a:ea typeface="ＭＳ 明朝" pitchFamily="17" charset="-128"/>
          </a:endParaRPr>
        </a:p>
        <a:p>
          <a:pPr algn="l"/>
          <a:r>
            <a:rPr kumimoji="1" lang="ja-JP" altLang="en-US" sz="1100" b="1">
              <a:solidFill>
                <a:schemeClr val="tx1"/>
              </a:solidFill>
              <a:latin typeface="ＭＳ 明朝" pitchFamily="17" charset="-128"/>
              <a:ea typeface="ＭＳ 明朝" pitchFamily="17" charset="-128"/>
            </a:rPr>
            <a:t>営業・農業・不動産・その他の事業等の所得金額</a:t>
          </a:r>
          <a:r>
            <a:rPr kumimoji="1" lang="ja-JP" altLang="en-US" sz="1100" b="0">
              <a:solidFill>
                <a:schemeClr val="tx1"/>
              </a:solidFill>
              <a:latin typeface="ＭＳ 明朝" pitchFamily="17" charset="-128"/>
              <a:ea typeface="ＭＳ 明朝" pitchFamily="17" charset="-128"/>
            </a:rPr>
            <a:t>がある場合には、「</a:t>
          </a:r>
          <a:r>
            <a:rPr kumimoji="1" lang="ja-JP" altLang="en-US" sz="1100" b="1">
              <a:solidFill>
                <a:schemeClr val="tx1"/>
              </a:solidFill>
              <a:latin typeface="ＭＳ 明朝" pitchFamily="17" charset="-128"/>
              <a:ea typeface="ＭＳ 明朝" pitchFamily="17" charset="-128"/>
            </a:rPr>
            <a:t>⑥その他所得</a:t>
          </a:r>
          <a:r>
            <a:rPr kumimoji="1" lang="ja-JP" altLang="en-US" sz="1100" b="0">
              <a:solidFill>
                <a:schemeClr val="tx1"/>
              </a:solidFill>
              <a:latin typeface="ＭＳ 明朝" pitchFamily="17" charset="-128"/>
              <a:ea typeface="ＭＳ 明朝" pitchFamily="17" charset="-128"/>
            </a:rPr>
            <a:t>」欄に所得金額（収入金額－必要経費）を入力してください。</a:t>
          </a:r>
        </a:p>
      </xdr:txBody>
    </xdr:sp>
    <xdr:clientData/>
  </xdr:twoCellAnchor>
  <xdr:twoCellAnchor>
    <xdr:from>
      <xdr:col>9</xdr:col>
      <xdr:colOff>27215</xdr:colOff>
      <xdr:row>37</xdr:row>
      <xdr:rowOff>128418</xdr:rowOff>
    </xdr:from>
    <xdr:to>
      <xdr:col>16</xdr:col>
      <xdr:colOff>517071</xdr:colOff>
      <xdr:row>40</xdr:row>
      <xdr:rowOff>156883</xdr:rowOff>
    </xdr:to>
    <xdr:sp macro="" textlink="">
      <xdr:nvSpPr>
        <xdr:cNvPr id="52" name="角丸四角形 51">
          <a:extLst>
            <a:ext uri="{FF2B5EF4-FFF2-40B4-BE49-F238E27FC236}">
              <a16:creationId xmlns:a16="http://schemas.microsoft.com/office/drawing/2014/main" id="{00000000-0008-0000-0100-000034000000}"/>
            </a:ext>
          </a:extLst>
        </xdr:cNvPr>
        <xdr:cNvSpPr/>
      </xdr:nvSpPr>
      <xdr:spPr>
        <a:xfrm>
          <a:off x="4744891" y="6370094"/>
          <a:ext cx="4815327" cy="532730"/>
        </a:xfrm>
        <a:prstGeom prst="roundRect">
          <a:avLst/>
        </a:prstGeom>
        <a:solidFill>
          <a:schemeClr val="accent3">
            <a:lumMod val="40000"/>
            <a:lumOff val="60000"/>
            <a:alpha val="38000"/>
          </a:schemeClr>
        </a:solidFill>
        <a:ln>
          <a:solidFill>
            <a:schemeClr val="accent3">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latin typeface="ＭＳ 明朝" pitchFamily="17" charset="-128"/>
              <a:ea typeface="ＭＳ 明朝" pitchFamily="17" charset="-128"/>
            </a:rPr>
            <a:t>「</a:t>
          </a:r>
          <a:r>
            <a:rPr kumimoji="1" lang="ja-JP" altLang="en-US" sz="1100" b="1">
              <a:solidFill>
                <a:schemeClr val="tx1"/>
              </a:solidFill>
              <a:latin typeface="ＭＳ 明朝" pitchFamily="17" charset="-128"/>
              <a:ea typeface="ＭＳ 明朝" pitchFamily="17" charset="-128"/>
            </a:rPr>
            <a:t>③非自発軽減</a:t>
          </a:r>
          <a:r>
            <a:rPr kumimoji="1" lang="ja-JP" altLang="en-US" sz="1100" b="0">
              <a:solidFill>
                <a:schemeClr val="tx1"/>
              </a:solidFill>
              <a:latin typeface="ＭＳ 明朝" pitchFamily="17" charset="-128"/>
              <a:ea typeface="ＭＳ 明朝" pitchFamily="17" charset="-128"/>
            </a:rPr>
            <a:t>」の場所に「</a:t>
          </a:r>
          <a:r>
            <a:rPr kumimoji="1" lang="ja-JP" altLang="en-US" sz="1100" b="1">
              <a:solidFill>
                <a:schemeClr val="tx1"/>
              </a:solidFill>
              <a:latin typeface="ＭＳ 明朝" pitchFamily="17" charset="-128"/>
              <a:ea typeface="ＭＳ 明朝" pitchFamily="17" charset="-128"/>
            </a:rPr>
            <a:t>該当</a:t>
          </a:r>
          <a:r>
            <a:rPr kumimoji="1" lang="ja-JP" altLang="en-US" sz="1100" b="0">
              <a:solidFill>
                <a:schemeClr val="tx1"/>
              </a:solidFill>
              <a:latin typeface="ＭＳ 明朝" pitchFamily="17" charset="-128"/>
              <a:ea typeface="ＭＳ 明朝" pitchFamily="17" charset="-128"/>
            </a:rPr>
            <a:t>」と入力することで、非自発的離職者に係る国民健康保険税の軽減に該当した場合の計算ができます。</a:t>
          </a:r>
          <a:endParaRPr kumimoji="1" lang="en-US" altLang="ja-JP" sz="1100" b="0">
            <a:solidFill>
              <a:schemeClr val="tx1"/>
            </a:solidFill>
            <a:latin typeface="ＭＳ 明朝" pitchFamily="17" charset="-128"/>
            <a:ea typeface="ＭＳ 明朝" pitchFamily="17" charset="-128"/>
          </a:endParaRPr>
        </a:p>
      </xdr:txBody>
    </xdr:sp>
    <xdr:clientData/>
  </xdr:twoCellAnchor>
  <xdr:twoCellAnchor>
    <xdr:from>
      <xdr:col>9</xdr:col>
      <xdr:colOff>27217</xdr:colOff>
      <xdr:row>35</xdr:row>
      <xdr:rowOff>68037</xdr:rowOff>
    </xdr:from>
    <xdr:to>
      <xdr:col>13</xdr:col>
      <xdr:colOff>22412</xdr:colOff>
      <xdr:row>37</xdr:row>
      <xdr:rowOff>33132</xdr:rowOff>
    </xdr:to>
    <xdr:sp macro="" textlink="">
      <xdr:nvSpPr>
        <xdr:cNvPr id="53" name="角丸四角形 52">
          <a:extLst>
            <a:ext uri="{FF2B5EF4-FFF2-40B4-BE49-F238E27FC236}">
              <a16:creationId xmlns:a16="http://schemas.microsoft.com/office/drawing/2014/main" id="{00000000-0008-0000-0100-000035000000}"/>
            </a:ext>
          </a:extLst>
        </xdr:cNvPr>
        <xdr:cNvSpPr/>
      </xdr:nvSpPr>
      <xdr:spPr>
        <a:xfrm>
          <a:off x="4744893" y="5973537"/>
          <a:ext cx="2269990" cy="301271"/>
        </a:xfrm>
        <a:prstGeom prst="roundRect">
          <a:avLst/>
        </a:prstGeom>
        <a:solidFill>
          <a:schemeClr val="bg1"/>
        </a:solidFill>
        <a:ln>
          <a:solidFill>
            <a:schemeClr val="tx1">
              <a:alpha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１．非自発軽減の計算をする場合</a:t>
          </a:r>
          <a:endParaRPr kumimoji="1" lang="en-US" altLang="ja-JP" sz="1100" b="1">
            <a:solidFill>
              <a:schemeClr val="tx1"/>
            </a:solidFill>
          </a:endParaRPr>
        </a:p>
      </xdr:txBody>
    </xdr:sp>
    <xdr:clientData/>
  </xdr:twoCellAnchor>
  <xdr:twoCellAnchor>
    <xdr:from>
      <xdr:col>9</xdr:col>
      <xdr:colOff>35494</xdr:colOff>
      <xdr:row>41</xdr:row>
      <xdr:rowOff>93476</xdr:rowOff>
    </xdr:from>
    <xdr:to>
      <xdr:col>13</xdr:col>
      <xdr:colOff>239602</xdr:colOff>
      <xdr:row>43</xdr:row>
      <xdr:rowOff>39641</xdr:rowOff>
    </xdr:to>
    <xdr:sp macro="" textlink="">
      <xdr:nvSpPr>
        <xdr:cNvPr id="54" name="角丸四角形 53">
          <a:extLst>
            <a:ext uri="{FF2B5EF4-FFF2-40B4-BE49-F238E27FC236}">
              <a16:creationId xmlns:a16="http://schemas.microsoft.com/office/drawing/2014/main" id="{00000000-0008-0000-0100-000036000000}"/>
            </a:ext>
          </a:extLst>
        </xdr:cNvPr>
        <xdr:cNvSpPr/>
      </xdr:nvSpPr>
      <xdr:spPr>
        <a:xfrm>
          <a:off x="22092673" y="6924262"/>
          <a:ext cx="2925536" cy="299950"/>
        </a:xfrm>
        <a:prstGeom prst="roundRect">
          <a:avLst/>
        </a:prstGeom>
        <a:solidFill>
          <a:schemeClr val="bg1"/>
        </a:solidFill>
        <a:ln>
          <a:solidFill>
            <a:schemeClr val="tx1">
              <a:alpha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２．前年の収入がある方の試算をする場合</a:t>
          </a:r>
          <a:endParaRPr kumimoji="1" lang="en-US" altLang="ja-JP" sz="1100" b="1">
            <a:solidFill>
              <a:schemeClr val="tx1"/>
            </a:solidFill>
          </a:endParaRPr>
        </a:p>
      </xdr:txBody>
    </xdr:sp>
    <xdr:clientData/>
  </xdr:twoCellAnchor>
  <xdr:twoCellAnchor>
    <xdr:from>
      <xdr:col>10</xdr:col>
      <xdr:colOff>38099</xdr:colOff>
      <xdr:row>62</xdr:row>
      <xdr:rowOff>78441</xdr:rowOff>
    </xdr:from>
    <xdr:to>
      <xdr:col>12</xdr:col>
      <xdr:colOff>616323</xdr:colOff>
      <xdr:row>64</xdr:row>
      <xdr:rowOff>40822</xdr:rowOff>
    </xdr:to>
    <xdr:sp macro="" textlink="">
      <xdr:nvSpPr>
        <xdr:cNvPr id="64" name="角丸四角形 63">
          <a:extLst>
            <a:ext uri="{FF2B5EF4-FFF2-40B4-BE49-F238E27FC236}">
              <a16:creationId xmlns:a16="http://schemas.microsoft.com/office/drawing/2014/main" id="{00000000-0008-0000-0100-000040000000}"/>
            </a:ext>
          </a:extLst>
        </xdr:cNvPr>
        <xdr:cNvSpPr/>
      </xdr:nvSpPr>
      <xdr:spPr>
        <a:xfrm>
          <a:off x="5439334" y="10477500"/>
          <a:ext cx="1485901" cy="298557"/>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１．はじめに行うこと</a:t>
          </a:r>
          <a:endParaRPr kumimoji="1" lang="en-US" altLang="ja-JP" sz="1100" b="1">
            <a:solidFill>
              <a:schemeClr val="tx1"/>
            </a:solidFill>
          </a:endParaRPr>
        </a:p>
      </xdr:txBody>
    </xdr:sp>
    <xdr:clientData/>
  </xdr:twoCellAnchor>
  <xdr:twoCellAnchor>
    <xdr:from>
      <xdr:col>10</xdr:col>
      <xdr:colOff>40820</xdr:colOff>
      <xdr:row>64</xdr:row>
      <xdr:rowOff>134714</xdr:rowOff>
    </xdr:from>
    <xdr:to>
      <xdr:col>17</xdr:col>
      <xdr:colOff>623455</xdr:colOff>
      <xdr:row>67</xdr:row>
      <xdr:rowOff>215349</xdr:rowOff>
    </xdr:to>
    <xdr:sp macro="" textlink="">
      <xdr:nvSpPr>
        <xdr:cNvPr id="65" name="角丸四角形 64">
          <a:extLst>
            <a:ext uri="{FF2B5EF4-FFF2-40B4-BE49-F238E27FC236}">
              <a16:creationId xmlns:a16="http://schemas.microsoft.com/office/drawing/2014/main" id="{00000000-0008-0000-0100-000041000000}"/>
            </a:ext>
          </a:extLst>
        </xdr:cNvPr>
        <xdr:cNvSpPr/>
      </xdr:nvSpPr>
      <xdr:spPr>
        <a:xfrm>
          <a:off x="5474211" y="11117453"/>
          <a:ext cx="4922722" cy="776374"/>
        </a:xfrm>
        <a:prstGeom prst="roundRect">
          <a:avLst/>
        </a:prstGeom>
        <a:solidFill>
          <a:schemeClr val="accent1">
            <a:lumMod val="20000"/>
            <a:lumOff val="8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tx1"/>
              </a:solidFill>
              <a:latin typeface="ＭＳ 明朝" pitchFamily="17" charset="-128"/>
              <a:ea typeface="ＭＳ 明朝" pitchFamily="17" charset="-128"/>
            </a:rPr>
            <a:t>　いつから国民健康保険に加入するかを①に入力してください。</a:t>
          </a:r>
          <a:endParaRPr kumimoji="1" lang="en-US" altLang="ja-JP" sz="1100" b="0">
            <a:solidFill>
              <a:schemeClr val="tx1"/>
            </a:solidFill>
            <a:latin typeface="ＭＳ 明朝" pitchFamily="17" charset="-128"/>
            <a:ea typeface="ＭＳ 明朝" pitchFamily="17"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tx1"/>
              </a:solidFill>
              <a:latin typeface="ＭＳ 明朝" pitchFamily="17" charset="-128"/>
              <a:ea typeface="ＭＳ 明朝" pitchFamily="17" charset="-128"/>
              <a:cs typeface="+mn-cs"/>
            </a:rPr>
            <a:t>次に、</a:t>
          </a:r>
          <a:r>
            <a:rPr kumimoji="1" lang="ja-JP" altLang="ja-JP" sz="1100" b="0">
              <a:solidFill>
                <a:schemeClr val="tx1"/>
              </a:solidFill>
              <a:latin typeface="ＭＳ 明朝" pitchFamily="17" charset="-128"/>
              <a:ea typeface="ＭＳ 明朝" pitchFamily="17" charset="-128"/>
              <a:cs typeface="+mn-cs"/>
            </a:rPr>
            <a:t>試算したい</a:t>
          </a:r>
          <a:r>
            <a:rPr kumimoji="1" lang="ja-JP" altLang="en-US" sz="1100" b="0">
              <a:solidFill>
                <a:schemeClr val="tx1"/>
              </a:solidFill>
              <a:latin typeface="ＭＳ 明朝" pitchFamily="17" charset="-128"/>
              <a:ea typeface="ＭＳ 明朝" pitchFamily="17" charset="-128"/>
              <a:cs typeface="+mn-cs"/>
            </a:rPr>
            <a:t>方</a:t>
          </a:r>
          <a:r>
            <a:rPr kumimoji="1" lang="ja-JP" altLang="ja-JP" sz="1100" b="0">
              <a:solidFill>
                <a:schemeClr val="tx1"/>
              </a:solidFill>
              <a:latin typeface="ＭＳ 明朝" pitchFamily="17" charset="-128"/>
              <a:ea typeface="ＭＳ 明朝" pitchFamily="17" charset="-128"/>
              <a:cs typeface="+mn-cs"/>
            </a:rPr>
            <a:t>全員の生年月日を</a:t>
          </a:r>
          <a:r>
            <a:rPr kumimoji="1" lang="ja-JP" altLang="en-US" sz="1100" b="0">
              <a:solidFill>
                <a:schemeClr val="tx1"/>
              </a:solidFill>
              <a:latin typeface="ＭＳ 明朝" pitchFamily="17" charset="-128"/>
              <a:ea typeface="ＭＳ 明朝" pitchFamily="17" charset="-128"/>
              <a:cs typeface="+mn-cs"/>
            </a:rPr>
            <a:t>②</a:t>
          </a:r>
          <a:r>
            <a:rPr kumimoji="1" lang="ja-JP" altLang="ja-JP" sz="1100" b="0">
              <a:solidFill>
                <a:schemeClr val="tx1"/>
              </a:solidFill>
              <a:latin typeface="ＭＳ 明朝" pitchFamily="17" charset="-128"/>
              <a:ea typeface="ＭＳ 明朝" pitchFamily="17" charset="-128"/>
              <a:cs typeface="+mn-cs"/>
            </a:rPr>
            <a:t>に入力してください。</a:t>
          </a:r>
          <a:endParaRPr kumimoji="1" lang="en-US" altLang="ja-JP" sz="1100" b="0">
            <a:solidFill>
              <a:schemeClr val="tx1"/>
            </a:solidFill>
            <a:latin typeface="ＭＳ 明朝" pitchFamily="17" charset="-128"/>
            <a:ea typeface="ＭＳ 明朝" pitchFamily="17"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tx1"/>
              </a:solidFill>
              <a:latin typeface="ＭＳ 明朝" pitchFamily="17" charset="-128"/>
              <a:ea typeface="ＭＳ 明朝" pitchFamily="17" charset="-128"/>
              <a:cs typeface="+mn-cs"/>
            </a:rPr>
            <a:t>（どちらも入れることで、試算が出来るようになります）</a:t>
          </a: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ja-JP" sz="1100" b="0">
            <a:solidFill>
              <a:schemeClr val="tx1"/>
            </a:solidFill>
            <a:latin typeface="ＭＳ 明朝" pitchFamily="17" charset="-128"/>
            <a:ea typeface="ＭＳ 明朝" pitchFamily="17" charset="-128"/>
            <a:cs typeface="+mn-cs"/>
          </a:endParaRPr>
        </a:p>
        <a:p>
          <a:pPr algn="l"/>
          <a:endParaRPr kumimoji="1" lang="ja-JP" altLang="en-US" sz="1100" b="0">
            <a:solidFill>
              <a:schemeClr val="tx1"/>
            </a:solidFill>
            <a:latin typeface="ＭＳ 明朝" pitchFamily="17" charset="-128"/>
            <a:ea typeface="ＭＳ 明朝" pitchFamily="17" charset="-128"/>
          </a:endParaRPr>
        </a:p>
      </xdr:txBody>
    </xdr:sp>
    <xdr:clientData/>
  </xdr:twoCellAnchor>
  <xdr:twoCellAnchor>
    <xdr:from>
      <xdr:col>10</xdr:col>
      <xdr:colOff>8163</xdr:colOff>
      <xdr:row>79</xdr:row>
      <xdr:rowOff>125963</xdr:rowOff>
    </xdr:from>
    <xdr:to>
      <xdr:col>17</xdr:col>
      <xdr:colOff>612912</xdr:colOff>
      <xdr:row>91</xdr:row>
      <xdr:rowOff>156883</xdr:rowOff>
    </xdr:to>
    <xdr:sp macro="" textlink="">
      <xdr:nvSpPr>
        <xdr:cNvPr id="66" name="角丸四角形 65">
          <a:extLst>
            <a:ext uri="{FF2B5EF4-FFF2-40B4-BE49-F238E27FC236}">
              <a16:creationId xmlns:a16="http://schemas.microsoft.com/office/drawing/2014/main" id="{00000000-0008-0000-0100-000042000000}"/>
            </a:ext>
          </a:extLst>
        </xdr:cNvPr>
        <xdr:cNvSpPr/>
      </xdr:nvSpPr>
      <xdr:spPr>
        <a:xfrm>
          <a:off x="5409398" y="13886787"/>
          <a:ext cx="4930220" cy="1958331"/>
        </a:xfrm>
        <a:prstGeom prst="roundRect">
          <a:avLst/>
        </a:prstGeom>
        <a:solidFill>
          <a:schemeClr val="accent2">
            <a:lumMod val="40000"/>
            <a:lumOff val="60000"/>
            <a:alpha val="38000"/>
          </a:schemeClr>
        </a:solidFill>
        <a:ln>
          <a:solidFill>
            <a:schemeClr val="accent2">
              <a:lumMod val="40000"/>
              <a:lumOff val="60000"/>
              <a:alpha val="22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　　</a:t>
          </a:r>
          <a:r>
            <a:rPr kumimoji="1" lang="ja-JP" altLang="en-US" sz="1100" b="1">
              <a:solidFill>
                <a:schemeClr val="tx1"/>
              </a:solidFill>
              <a:latin typeface="ＭＳ 明朝" pitchFamily="17" charset="-128"/>
              <a:ea typeface="ＭＳ 明朝" pitchFamily="17" charset="-128"/>
            </a:rPr>
            <a:t>給与収入</a:t>
          </a:r>
          <a:r>
            <a:rPr kumimoji="1" lang="ja-JP" altLang="en-US" sz="1100" b="0">
              <a:solidFill>
                <a:schemeClr val="tx1"/>
              </a:solidFill>
              <a:latin typeface="ＭＳ 明朝" pitchFamily="17" charset="-128"/>
              <a:ea typeface="ＭＳ 明朝" pitchFamily="17" charset="-128"/>
            </a:rPr>
            <a:t>がある場合は、「</a:t>
          </a:r>
          <a:r>
            <a:rPr kumimoji="1" lang="ja-JP" altLang="en-US" sz="1100" b="1">
              <a:solidFill>
                <a:schemeClr val="tx1"/>
              </a:solidFill>
              <a:latin typeface="ＭＳ 明朝" pitchFamily="17" charset="-128"/>
              <a:ea typeface="ＭＳ 明朝" pitchFamily="17" charset="-128"/>
            </a:rPr>
            <a:t>④給与収入</a:t>
          </a:r>
          <a:r>
            <a:rPr kumimoji="1" lang="ja-JP" altLang="en-US" sz="1100" b="0">
              <a:solidFill>
                <a:schemeClr val="tx1"/>
              </a:solidFill>
              <a:latin typeface="ＭＳ 明朝" pitchFamily="17" charset="-128"/>
              <a:ea typeface="ＭＳ 明朝" pitchFamily="17" charset="-128"/>
            </a:rPr>
            <a:t>」の欄に源泉徴収票の支払金額、もしくは申告書の給与収入金額を入力してください。</a:t>
          </a:r>
          <a:endParaRPr kumimoji="1" lang="en-US" altLang="ja-JP" sz="1100" b="0">
            <a:solidFill>
              <a:schemeClr val="tx1"/>
            </a:solidFill>
            <a:latin typeface="ＭＳ 明朝" pitchFamily="17" charset="-128"/>
            <a:ea typeface="ＭＳ 明朝" pitchFamily="17" charset="-128"/>
          </a:endParaRPr>
        </a:p>
        <a:p>
          <a:pPr algn="l"/>
          <a:endParaRPr kumimoji="1" lang="en-US" altLang="ja-JP" sz="1100" b="1">
            <a:solidFill>
              <a:schemeClr val="tx1"/>
            </a:solidFill>
            <a:latin typeface="ＭＳ 明朝" pitchFamily="17" charset="-128"/>
            <a:ea typeface="ＭＳ 明朝" pitchFamily="17" charset="-128"/>
          </a:endParaRPr>
        </a:p>
        <a:p>
          <a:pPr algn="l"/>
          <a:r>
            <a:rPr kumimoji="1" lang="ja-JP" altLang="en-US" sz="1100" b="1">
              <a:solidFill>
                <a:schemeClr val="tx1"/>
              </a:solidFill>
              <a:latin typeface="ＭＳ 明朝" pitchFamily="17" charset="-128"/>
              <a:ea typeface="ＭＳ 明朝" pitchFamily="17" charset="-128"/>
            </a:rPr>
            <a:t>　</a:t>
          </a:r>
          <a:r>
            <a:rPr kumimoji="1" lang="ja-JP" altLang="en-US" sz="1100" b="1" baseline="0">
              <a:solidFill>
                <a:schemeClr val="tx1"/>
              </a:solidFill>
              <a:latin typeface="ＭＳ 明朝" pitchFamily="17" charset="-128"/>
              <a:ea typeface="ＭＳ 明朝" pitchFamily="17" charset="-128"/>
            </a:rPr>
            <a:t> </a:t>
          </a:r>
          <a:r>
            <a:rPr kumimoji="1" lang="ja-JP" altLang="en-US" sz="1100" b="1">
              <a:solidFill>
                <a:schemeClr val="tx1"/>
              </a:solidFill>
              <a:latin typeface="ＭＳ 明朝" pitchFamily="17" charset="-128"/>
              <a:ea typeface="ＭＳ 明朝" pitchFamily="17" charset="-128"/>
            </a:rPr>
            <a:t>年金収入（公的年金）</a:t>
          </a:r>
          <a:r>
            <a:rPr kumimoji="1" lang="ja-JP" altLang="en-US" sz="1100" b="0">
              <a:solidFill>
                <a:schemeClr val="tx1"/>
              </a:solidFill>
              <a:latin typeface="ＭＳ 明朝" pitchFamily="17" charset="-128"/>
              <a:ea typeface="ＭＳ 明朝" pitchFamily="17" charset="-128"/>
            </a:rPr>
            <a:t>がある場合は、「</a:t>
          </a:r>
          <a:r>
            <a:rPr kumimoji="1" lang="ja-JP" altLang="en-US" sz="1100" b="1">
              <a:solidFill>
                <a:schemeClr val="tx1"/>
              </a:solidFill>
              <a:latin typeface="ＭＳ 明朝" pitchFamily="17" charset="-128"/>
              <a:ea typeface="ＭＳ 明朝" pitchFamily="17" charset="-128"/>
            </a:rPr>
            <a:t>⑤年金収入</a:t>
          </a:r>
          <a:r>
            <a:rPr kumimoji="1" lang="ja-JP" altLang="en-US" sz="1100" b="0">
              <a:solidFill>
                <a:schemeClr val="tx1"/>
              </a:solidFill>
              <a:latin typeface="ＭＳ 明朝" pitchFamily="17" charset="-128"/>
              <a:ea typeface="ＭＳ 明朝" pitchFamily="17" charset="-128"/>
            </a:rPr>
            <a:t>」の欄に源泉徴収票の支払金額、もしくは申告書の年金収入の金額を入力してください。</a:t>
          </a:r>
          <a:endParaRPr kumimoji="1" lang="en-US" altLang="ja-JP" sz="1100" b="0">
            <a:solidFill>
              <a:schemeClr val="tx1"/>
            </a:solidFill>
            <a:latin typeface="ＭＳ 明朝" pitchFamily="17" charset="-128"/>
            <a:ea typeface="ＭＳ 明朝" pitchFamily="17" charset="-128"/>
          </a:endParaRPr>
        </a:p>
        <a:p>
          <a:pPr algn="l"/>
          <a:endParaRPr kumimoji="1" lang="en-US" altLang="ja-JP" sz="1100" b="1">
            <a:solidFill>
              <a:schemeClr val="tx1"/>
            </a:solidFill>
            <a:latin typeface="ＭＳ 明朝" pitchFamily="17" charset="-128"/>
            <a:ea typeface="ＭＳ 明朝" pitchFamily="17" charset="-128"/>
          </a:endParaRPr>
        </a:p>
        <a:p>
          <a:pPr algn="l"/>
          <a:r>
            <a:rPr kumimoji="1" lang="ja-JP" altLang="en-US" sz="1100" b="1">
              <a:solidFill>
                <a:schemeClr val="tx1"/>
              </a:solidFill>
              <a:latin typeface="ＭＳ 明朝" pitchFamily="17" charset="-128"/>
              <a:ea typeface="ＭＳ 明朝" pitchFamily="17" charset="-128"/>
            </a:rPr>
            <a:t>　</a:t>
          </a:r>
          <a:r>
            <a:rPr kumimoji="1" lang="ja-JP" altLang="en-US" sz="1100" b="1" baseline="0">
              <a:solidFill>
                <a:schemeClr val="tx1"/>
              </a:solidFill>
              <a:latin typeface="ＭＳ 明朝" pitchFamily="17" charset="-128"/>
              <a:ea typeface="ＭＳ 明朝" pitchFamily="17" charset="-128"/>
            </a:rPr>
            <a:t> </a:t>
          </a:r>
          <a:r>
            <a:rPr kumimoji="1" lang="ja-JP" altLang="en-US" sz="1100" b="1">
              <a:solidFill>
                <a:schemeClr val="tx1"/>
              </a:solidFill>
              <a:latin typeface="ＭＳ 明朝" pitchFamily="17" charset="-128"/>
              <a:ea typeface="ＭＳ 明朝" pitchFamily="17" charset="-128"/>
            </a:rPr>
            <a:t>営業・農業・不動産・その他の事業等の所得金額</a:t>
          </a:r>
          <a:r>
            <a:rPr kumimoji="1" lang="ja-JP" altLang="en-US" sz="1100" b="0">
              <a:solidFill>
                <a:schemeClr val="tx1"/>
              </a:solidFill>
              <a:latin typeface="ＭＳ 明朝" pitchFamily="17" charset="-128"/>
              <a:ea typeface="ＭＳ 明朝" pitchFamily="17" charset="-128"/>
            </a:rPr>
            <a:t>がある場合には、「</a:t>
          </a:r>
          <a:r>
            <a:rPr kumimoji="1" lang="ja-JP" altLang="en-US" sz="1100" b="1">
              <a:solidFill>
                <a:schemeClr val="tx1"/>
              </a:solidFill>
              <a:latin typeface="ＭＳ 明朝" pitchFamily="17" charset="-128"/>
              <a:ea typeface="ＭＳ 明朝" pitchFamily="17" charset="-128"/>
            </a:rPr>
            <a:t>⑥その他所得</a:t>
          </a:r>
          <a:r>
            <a:rPr kumimoji="1" lang="ja-JP" altLang="en-US" sz="1100" b="0">
              <a:solidFill>
                <a:schemeClr val="tx1"/>
              </a:solidFill>
              <a:latin typeface="ＭＳ 明朝" pitchFamily="17" charset="-128"/>
              <a:ea typeface="ＭＳ 明朝" pitchFamily="17" charset="-128"/>
            </a:rPr>
            <a:t>」欄に所得金額（収入金額－必要経費）を入力してください。</a:t>
          </a:r>
        </a:p>
      </xdr:txBody>
    </xdr:sp>
    <xdr:clientData/>
  </xdr:twoCellAnchor>
  <xdr:twoCellAnchor>
    <xdr:from>
      <xdr:col>10</xdr:col>
      <xdr:colOff>27214</xdr:colOff>
      <xdr:row>71</xdr:row>
      <xdr:rowOff>128417</xdr:rowOff>
    </xdr:from>
    <xdr:to>
      <xdr:col>17</xdr:col>
      <xdr:colOff>604629</xdr:colOff>
      <xdr:row>76</xdr:row>
      <xdr:rowOff>66261</xdr:rowOff>
    </xdr:to>
    <xdr:sp macro="" textlink="">
      <xdr:nvSpPr>
        <xdr:cNvPr id="67" name="角丸四角形 66">
          <a:extLst>
            <a:ext uri="{FF2B5EF4-FFF2-40B4-BE49-F238E27FC236}">
              <a16:creationId xmlns:a16="http://schemas.microsoft.com/office/drawing/2014/main" id="{00000000-0008-0000-0100-000043000000}"/>
            </a:ext>
          </a:extLst>
        </xdr:cNvPr>
        <xdr:cNvSpPr/>
      </xdr:nvSpPr>
      <xdr:spPr>
        <a:xfrm>
          <a:off x="22986605" y="12105069"/>
          <a:ext cx="5389611" cy="807518"/>
        </a:xfrm>
        <a:prstGeom prst="roundRect">
          <a:avLst/>
        </a:prstGeom>
        <a:solidFill>
          <a:schemeClr val="accent3">
            <a:lumMod val="40000"/>
            <a:lumOff val="60000"/>
            <a:alpha val="38000"/>
          </a:schemeClr>
        </a:solidFill>
        <a:ln>
          <a:solidFill>
            <a:schemeClr val="accent3">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　</a:t>
          </a:r>
          <a:r>
            <a:rPr kumimoji="1" lang="ja-JP" altLang="en-US" sz="1100" b="0">
              <a:solidFill>
                <a:schemeClr val="tx1"/>
              </a:solidFill>
              <a:latin typeface="ＭＳ 明朝" pitchFamily="17" charset="-128"/>
              <a:ea typeface="ＭＳ 明朝" pitchFamily="17" charset="-128"/>
            </a:rPr>
            <a:t>「</a:t>
          </a:r>
          <a:r>
            <a:rPr kumimoji="1" lang="ja-JP" altLang="en-US" sz="1100" b="1">
              <a:solidFill>
                <a:schemeClr val="tx1"/>
              </a:solidFill>
              <a:latin typeface="ＭＳ 明朝" pitchFamily="17" charset="-128"/>
              <a:ea typeface="ＭＳ 明朝" pitchFamily="17" charset="-128"/>
            </a:rPr>
            <a:t>③非自発軽減</a:t>
          </a:r>
          <a:r>
            <a:rPr kumimoji="1" lang="ja-JP" altLang="en-US" sz="1100" b="0">
              <a:solidFill>
                <a:schemeClr val="tx1"/>
              </a:solidFill>
              <a:latin typeface="ＭＳ 明朝" pitchFamily="17" charset="-128"/>
              <a:ea typeface="ＭＳ 明朝" pitchFamily="17" charset="-128"/>
            </a:rPr>
            <a:t>」の場所に「</a:t>
          </a:r>
          <a:r>
            <a:rPr kumimoji="1" lang="ja-JP" altLang="en-US" sz="1100" b="1">
              <a:solidFill>
                <a:schemeClr val="tx1"/>
              </a:solidFill>
              <a:latin typeface="ＭＳ 明朝" pitchFamily="17" charset="-128"/>
              <a:ea typeface="ＭＳ 明朝" pitchFamily="17" charset="-128"/>
            </a:rPr>
            <a:t>該当</a:t>
          </a:r>
          <a:r>
            <a:rPr kumimoji="1" lang="ja-JP" altLang="en-US" sz="1100" b="0">
              <a:solidFill>
                <a:schemeClr val="tx1"/>
              </a:solidFill>
              <a:latin typeface="ＭＳ 明朝" pitchFamily="17" charset="-128"/>
              <a:ea typeface="ＭＳ 明朝" pitchFamily="17" charset="-128"/>
            </a:rPr>
            <a:t>」と入力することで、非自発的離職者に係る国民健康保険税の軽減に該当した場合の計算ができます。</a:t>
          </a:r>
          <a:endParaRPr kumimoji="1" lang="en-US" altLang="ja-JP" sz="1100" b="0">
            <a:solidFill>
              <a:schemeClr val="tx1"/>
            </a:solidFill>
            <a:latin typeface="ＭＳ 明朝" pitchFamily="17" charset="-128"/>
            <a:ea typeface="ＭＳ 明朝" pitchFamily="17" charset="-128"/>
          </a:endParaRPr>
        </a:p>
        <a:p>
          <a:pPr algn="l"/>
          <a:r>
            <a:rPr kumimoji="1" lang="en-US" altLang="ja-JP" sz="1100" b="0">
              <a:solidFill>
                <a:schemeClr val="tx1"/>
              </a:solidFill>
              <a:latin typeface="ＭＳ 明朝" pitchFamily="17" charset="-128"/>
              <a:ea typeface="ＭＳ 明朝" pitchFamily="17" charset="-128"/>
            </a:rPr>
            <a:t>【</a:t>
          </a:r>
          <a:r>
            <a:rPr kumimoji="1" lang="ja-JP" altLang="en-US" sz="1100" b="0">
              <a:solidFill>
                <a:schemeClr val="tx1"/>
              </a:solidFill>
              <a:latin typeface="ＭＳ 明朝" pitchFamily="17" charset="-128"/>
              <a:ea typeface="ＭＳ 明朝" pitchFamily="17" charset="-128"/>
            </a:rPr>
            <a:t>詳しくはこちら</a:t>
          </a:r>
          <a:r>
            <a:rPr kumimoji="1" lang="en-US" altLang="ja-JP" sz="1100" b="0">
              <a:solidFill>
                <a:schemeClr val="tx1"/>
              </a:solidFill>
              <a:latin typeface="ＭＳ 明朝" pitchFamily="17" charset="-128"/>
              <a:ea typeface="ＭＳ 明朝" pitchFamily="17" charset="-128"/>
            </a:rPr>
            <a:t>】</a:t>
          </a:r>
          <a:r>
            <a:rPr kumimoji="1" lang="ja-JP" altLang="en-US" sz="1100" b="0">
              <a:solidFill>
                <a:schemeClr val="tx1"/>
              </a:solidFill>
              <a:latin typeface="ＭＳ 明朝" pitchFamily="17" charset="-128"/>
              <a:ea typeface="ＭＳ 明朝" pitchFamily="17" charset="-128"/>
            </a:rPr>
            <a:t>：</a:t>
          </a:r>
          <a:endParaRPr kumimoji="1" lang="en-US" altLang="ja-JP" sz="1100" b="0">
            <a:solidFill>
              <a:schemeClr val="tx1"/>
            </a:solidFill>
            <a:latin typeface="ＭＳ 明朝" pitchFamily="17" charset="-128"/>
            <a:ea typeface="ＭＳ 明朝" pitchFamily="17" charset="-128"/>
          </a:endParaRPr>
        </a:p>
      </xdr:txBody>
    </xdr:sp>
    <xdr:clientData/>
  </xdr:twoCellAnchor>
  <xdr:twoCellAnchor>
    <xdr:from>
      <xdr:col>10</xdr:col>
      <xdr:colOff>27216</xdr:colOff>
      <xdr:row>69</xdr:row>
      <xdr:rowOff>68037</xdr:rowOff>
    </xdr:from>
    <xdr:to>
      <xdr:col>14</xdr:col>
      <xdr:colOff>0</xdr:colOff>
      <xdr:row>71</xdr:row>
      <xdr:rowOff>33132</xdr:rowOff>
    </xdr:to>
    <xdr:sp macro="" textlink="">
      <xdr:nvSpPr>
        <xdr:cNvPr id="68" name="角丸四角形 67">
          <a:extLst>
            <a:ext uri="{FF2B5EF4-FFF2-40B4-BE49-F238E27FC236}">
              <a16:creationId xmlns:a16="http://schemas.microsoft.com/office/drawing/2014/main" id="{00000000-0008-0000-0100-000044000000}"/>
            </a:ext>
          </a:extLst>
        </xdr:cNvPr>
        <xdr:cNvSpPr/>
      </xdr:nvSpPr>
      <xdr:spPr>
        <a:xfrm>
          <a:off x="5428451" y="12091949"/>
          <a:ext cx="2247578" cy="301271"/>
        </a:xfrm>
        <a:prstGeom prst="roundRect">
          <a:avLst/>
        </a:prstGeom>
        <a:solidFill>
          <a:schemeClr val="bg1"/>
        </a:solidFill>
        <a:ln>
          <a:solidFill>
            <a:schemeClr val="tx1">
              <a:alpha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２．非自発軽減の計算をする場合</a:t>
          </a:r>
          <a:endParaRPr kumimoji="1" lang="en-US" altLang="ja-JP" sz="1100" b="1">
            <a:solidFill>
              <a:schemeClr val="tx1"/>
            </a:solidFill>
          </a:endParaRPr>
        </a:p>
      </xdr:txBody>
    </xdr:sp>
    <xdr:clientData/>
  </xdr:twoCellAnchor>
  <xdr:twoCellAnchor>
    <xdr:from>
      <xdr:col>10</xdr:col>
      <xdr:colOff>35493</xdr:colOff>
      <xdr:row>77</xdr:row>
      <xdr:rowOff>85209</xdr:rowOff>
    </xdr:from>
    <xdr:to>
      <xdr:col>14</xdr:col>
      <xdr:colOff>571500</xdr:colOff>
      <xdr:row>79</xdr:row>
      <xdr:rowOff>31375</xdr:rowOff>
    </xdr:to>
    <xdr:sp macro="" textlink="">
      <xdr:nvSpPr>
        <xdr:cNvPr id="69" name="角丸四角形 68">
          <a:extLst>
            <a:ext uri="{FF2B5EF4-FFF2-40B4-BE49-F238E27FC236}">
              <a16:creationId xmlns:a16="http://schemas.microsoft.com/office/drawing/2014/main" id="{00000000-0008-0000-0100-000045000000}"/>
            </a:ext>
          </a:extLst>
        </xdr:cNvPr>
        <xdr:cNvSpPr/>
      </xdr:nvSpPr>
      <xdr:spPr>
        <a:xfrm>
          <a:off x="5436728" y="13453827"/>
          <a:ext cx="2810801" cy="338372"/>
        </a:xfrm>
        <a:prstGeom prst="roundRect">
          <a:avLst/>
        </a:prstGeom>
        <a:solidFill>
          <a:schemeClr val="bg1"/>
        </a:solidFill>
        <a:ln>
          <a:solidFill>
            <a:schemeClr val="tx1">
              <a:alpha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３．前年の収入がある方の試算をする場合</a:t>
          </a:r>
          <a:endParaRPr kumimoji="1" lang="en-US" altLang="ja-JP" sz="1100" b="1">
            <a:solidFill>
              <a:schemeClr val="tx1"/>
            </a:solidFill>
          </a:endParaRPr>
        </a:p>
      </xdr:txBody>
    </xdr:sp>
    <xdr:clientData/>
  </xdr:twoCellAnchor>
  <xdr:twoCellAnchor>
    <xdr:from>
      <xdr:col>19</xdr:col>
      <xdr:colOff>664027</xdr:colOff>
      <xdr:row>67</xdr:row>
      <xdr:rowOff>163286</xdr:rowOff>
    </xdr:from>
    <xdr:to>
      <xdr:col>24</xdr:col>
      <xdr:colOff>81643</xdr:colOff>
      <xdr:row>72</xdr:row>
      <xdr:rowOff>54427</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1236777" y="12015107"/>
          <a:ext cx="2411187" cy="857249"/>
        </a:xfrm>
        <a:prstGeom prst="roundRect">
          <a:avLst/>
        </a:prstGeom>
        <a:solidFill>
          <a:srgbClr val="FFFF00">
            <a:alpha val="83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chemeClr val="tx1"/>
              </a:solidFill>
            </a:rPr>
            <a:t>※</a:t>
          </a:r>
          <a:r>
            <a:rPr kumimoji="1" lang="ja-JP" altLang="en-US" sz="1100" b="0">
              <a:solidFill>
                <a:schemeClr val="tx1"/>
              </a:solidFill>
            </a:rPr>
            <a:t>注意</a:t>
          </a:r>
          <a:r>
            <a:rPr kumimoji="1" lang="en-US" altLang="ja-JP" sz="1100" b="0">
              <a:solidFill>
                <a:schemeClr val="tx1"/>
              </a:solidFill>
            </a:rPr>
            <a:t>※</a:t>
          </a:r>
        </a:p>
        <a:p>
          <a:pPr algn="l"/>
          <a:r>
            <a:rPr kumimoji="1" lang="ja-JP" altLang="en-US" sz="1100" b="0">
              <a:solidFill>
                <a:schemeClr val="tx1"/>
              </a:solidFill>
            </a:rPr>
            <a:t>試算結果はあくまで概算であり、</a:t>
          </a:r>
          <a:endParaRPr kumimoji="1" lang="en-US" altLang="ja-JP" sz="1100" b="0">
            <a:solidFill>
              <a:schemeClr val="tx1"/>
            </a:solidFill>
          </a:endParaRPr>
        </a:p>
        <a:p>
          <a:pPr algn="l"/>
          <a:r>
            <a:rPr kumimoji="1" lang="ja-JP" altLang="en-US" sz="1100" b="0">
              <a:solidFill>
                <a:schemeClr val="tx1"/>
              </a:solidFill>
            </a:rPr>
            <a:t>実際の税額と異なる場合があります</a:t>
          </a:r>
          <a:r>
            <a:rPr kumimoji="1" lang="ja-JP" altLang="en-US" sz="1100"/>
            <a:t>。</a:t>
          </a:r>
        </a:p>
      </xdr:txBody>
    </xdr:sp>
    <xdr:clientData/>
  </xdr:twoCellAnchor>
  <xdr:twoCellAnchor>
    <xdr:from>
      <xdr:col>19</xdr:col>
      <xdr:colOff>515471</xdr:colOff>
      <xdr:row>64</xdr:row>
      <xdr:rowOff>33616</xdr:rowOff>
    </xdr:from>
    <xdr:to>
      <xdr:col>25</xdr:col>
      <xdr:colOff>145675</xdr:colOff>
      <xdr:row>67</xdr:row>
      <xdr:rowOff>112059</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9370618" y="10555940"/>
          <a:ext cx="3731557" cy="605119"/>
        </a:xfrm>
        <a:prstGeom prst="roundRect">
          <a:avLst/>
        </a:prstGeom>
        <a:solidFill>
          <a:schemeClr val="accent3">
            <a:lumMod val="40000"/>
            <a:lumOff val="60000"/>
            <a:alpha val="38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u="sng">
              <a:solidFill>
                <a:srgbClr val="0070C0"/>
              </a:solidFill>
            </a:rPr>
            <a:t>非自発的離職者の国保税の軽減制度について</a:t>
          </a:r>
        </a:p>
      </xdr:txBody>
    </xdr:sp>
    <xdr:clientData/>
  </xdr:twoCellAnchor>
  <xdr:twoCellAnchor editAs="oneCell">
    <xdr:from>
      <xdr:col>19</xdr:col>
      <xdr:colOff>526678</xdr:colOff>
      <xdr:row>72</xdr:row>
      <xdr:rowOff>11205</xdr:rowOff>
    </xdr:from>
    <xdr:to>
      <xdr:col>25</xdr:col>
      <xdr:colOff>446913</xdr:colOff>
      <xdr:row>74</xdr:row>
      <xdr:rowOff>22531</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29381825" y="11654117"/>
          <a:ext cx="3218967" cy="347502"/>
        </a:xfrm>
        <a:prstGeom prst="rect">
          <a:avLst/>
        </a:prstGeom>
      </xdr:spPr>
    </xdr:pic>
    <xdr:clientData/>
  </xdr:twoCellAnchor>
  <xdr:twoCellAnchor>
    <xdr:from>
      <xdr:col>18</xdr:col>
      <xdr:colOff>142874</xdr:colOff>
      <xdr:row>92</xdr:row>
      <xdr:rowOff>164087</xdr:rowOff>
    </xdr:from>
    <xdr:to>
      <xdr:col>27</xdr:col>
      <xdr:colOff>13607</xdr:colOff>
      <xdr:row>98</xdr:row>
      <xdr:rowOff>105656</xdr:rowOff>
    </xdr:to>
    <xdr:sp macro="" textlink="">
      <xdr:nvSpPr>
        <xdr:cNvPr id="8" name="横巻き 7">
          <a:extLst>
            <a:ext uri="{FF2B5EF4-FFF2-40B4-BE49-F238E27FC236}">
              <a16:creationId xmlns:a16="http://schemas.microsoft.com/office/drawing/2014/main" id="{00000000-0008-0000-0100-000008000000}"/>
            </a:ext>
          </a:extLst>
        </xdr:cNvPr>
        <xdr:cNvSpPr/>
      </xdr:nvSpPr>
      <xdr:spPr>
        <a:xfrm>
          <a:off x="10511517" y="16465444"/>
          <a:ext cx="4714876" cy="1002926"/>
        </a:xfrm>
        <a:prstGeom prst="horizontalScroll">
          <a:avLst/>
        </a:prstGeom>
        <a:solidFill>
          <a:schemeClr val="bg1">
            <a:lumMod val="95000"/>
          </a:schemeClr>
        </a:solidFill>
        <a:ln>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平成２７年度の試算をする際には・・・</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200" b="1" u="none">
              <a:solidFill>
                <a:sysClr val="windowText" lastClr="000000"/>
              </a:solidFill>
            </a:rPr>
            <a:t>平成２６年１月１日から１２月３１日分まで</a:t>
          </a:r>
          <a:r>
            <a:rPr kumimoji="1" lang="ja-JP" altLang="en-US" sz="1200" b="0" u="none">
              <a:solidFill>
                <a:sysClr val="windowText" lastClr="000000"/>
              </a:solidFill>
            </a:rPr>
            <a:t>の収入を入力して下さい</a:t>
          </a:r>
          <a:r>
            <a:rPr kumimoji="1" lang="ja-JP" altLang="en-US" sz="1100" b="0" u="none">
              <a:solidFill>
                <a:sysClr val="windowText" lastClr="000000"/>
              </a:solidFill>
            </a:rPr>
            <a:t>。</a:t>
          </a:r>
          <a:r>
            <a:rPr kumimoji="1" lang="ja-JP" altLang="en-US" sz="1200" b="1" u="sng" baseline="0">
              <a:solidFill>
                <a:sysClr val="windowText" lastClr="000000"/>
              </a:solidFill>
            </a:rPr>
            <a:t> </a:t>
          </a:r>
          <a:endParaRPr kumimoji="1" lang="en-US" altLang="ja-JP" sz="1200" b="1" u="sng">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21</xdr:col>
      <xdr:colOff>666750</xdr:colOff>
      <xdr:row>75</xdr:row>
      <xdr:rowOff>142875</xdr:rowOff>
    </xdr:from>
    <xdr:to>
      <xdr:col>26</xdr:col>
      <xdr:colOff>30817</xdr:colOff>
      <xdr:row>88</xdr:row>
      <xdr:rowOff>124386</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13163550" y="13173075"/>
          <a:ext cx="1983442" cy="2162736"/>
        </a:xfrm>
        <a:prstGeom prst="wedgeRoundRectCallout">
          <a:avLst>
            <a:gd name="adj1" fmla="val -17207"/>
            <a:gd name="adj2" fmla="val -59719"/>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itchFamily="17" charset="-128"/>
              <a:ea typeface="ＭＳ 明朝" pitchFamily="17" charset="-128"/>
            </a:rPr>
            <a:t>国保に加入する日を必ず入力して下さい。</a:t>
          </a:r>
          <a:endParaRPr kumimoji="1" lang="en-US" altLang="ja-JP" sz="1100">
            <a:solidFill>
              <a:schemeClr val="tx1"/>
            </a:solidFill>
            <a:latin typeface="ＭＳ 明朝" pitchFamily="17" charset="-128"/>
            <a:ea typeface="ＭＳ 明朝" pitchFamily="17" charset="-128"/>
          </a:endParaRPr>
        </a:p>
        <a:p>
          <a:pPr algn="l"/>
          <a:endParaRPr kumimoji="1" lang="en-US" altLang="ja-JP" sz="1100">
            <a:solidFill>
              <a:schemeClr val="tx1"/>
            </a:solidFill>
            <a:latin typeface="ＭＳ 明朝" pitchFamily="17" charset="-128"/>
            <a:ea typeface="ＭＳ 明朝" pitchFamily="17" charset="-128"/>
          </a:endParaRPr>
        </a:p>
        <a:p>
          <a:pPr algn="l"/>
          <a:r>
            <a:rPr kumimoji="1" lang="ja-JP" altLang="en-US" sz="1100">
              <a:solidFill>
                <a:schemeClr val="tx1"/>
              </a:solidFill>
              <a:latin typeface="ＭＳ 明朝" pitchFamily="17" charset="-128"/>
              <a:ea typeface="ＭＳ 明朝" pitchFamily="17" charset="-128"/>
            </a:rPr>
            <a:t>例</a:t>
          </a:r>
          <a:endParaRPr kumimoji="1" lang="en-US" altLang="ja-JP" sz="1100">
            <a:solidFill>
              <a:schemeClr val="tx1"/>
            </a:solidFill>
            <a:latin typeface="ＭＳ 明朝" pitchFamily="17" charset="-128"/>
            <a:ea typeface="ＭＳ 明朝" pitchFamily="17" charset="-128"/>
          </a:endParaRPr>
        </a:p>
        <a:p>
          <a:pPr algn="l"/>
          <a:r>
            <a:rPr kumimoji="1" lang="ja-JP" altLang="en-US" sz="1100">
              <a:solidFill>
                <a:schemeClr val="tx1"/>
              </a:solidFill>
              <a:latin typeface="ＭＳ 明朝" pitchFamily="17" charset="-128"/>
              <a:ea typeface="ＭＳ 明朝" pitchFamily="17" charset="-128"/>
            </a:rPr>
            <a:t>平成２７年３月３１日</a:t>
          </a:r>
          <a:endParaRPr kumimoji="1" lang="en-US" altLang="ja-JP" sz="1100">
            <a:solidFill>
              <a:schemeClr val="tx1"/>
            </a:solidFill>
            <a:latin typeface="ＭＳ 明朝" pitchFamily="17" charset="-128"/>
            <a:ea typeface="ＭＳ 明朝" pitchFamily="17" charset="-128"/>
          </a:endParaRPr>
        </a:p>
        <a:p>
          <a:pPr algn="l"/>
          <a:r>
            <a:rPr kumimoji="1" lang="ja-JP" altLang="en-US" sz="1100">
              <a:solidFill>
                <a:schemeClr val="tx1"/>
              </a:solidFill>
              <a:latin typeface="ＭＳ 明朝" pitchFamily="17" charset="-128"/>
              <a:ea typeface="ＭＳ 明朝" pitchFamily="17" charset="-128"/>
            </a:rPr>
            <a:t>退職の場合</a:t>
          </a:r>
          <a:endParaRPr kumimoji="1" lang="en-US" altLang="ja-JP" sz="1100">
            <a:solidFill>
              <a:schemeClr val="tx1"/>
            </a:solidFill>
            <a:latin typeface="ＭＳ 明朝" pitchFamily="17" charset="-128"/>
            <a:ea typeface="ＭＳ 明朝" pitchFamily="17" charset="-128"/>
          </a:endParaRPr>
        </a:p>
        <a:p>
          <a:pPr algn="l"/>
          <a:r>
            <a:rPr kumimoji="1" lang="ja-JP" altLang="en-US" sz="1100">
              <a:solidFill>
                <a:schemeClr val="tx1"/>
              </a:solidFill>
              <a:latin typeface="ＭＳ 明朝" pitchFamily="17" charset="-128"/>
              <a:ea typeface="ＭＳ 明朝" pitchFamily="17" charset="-128"/>
            </a:rPr>
            <a:t>　　　　　↓</a:t>
          </a:r>
          <a:endParaRPr kumimoji="1" lang="en-US" altLang="ja-JP" sz="1100">
            <a:solidFill>
              <a:schemeClr val="tx1"/>
            </a:solidFill>
            <a:latin typeface="ＭＳ 明朝" pitchFamily="17" charset="-128"/>
            <a:ea typeface="ＭＳ 明朝" pitchFamily="17" charset="-128"/>
          </a:endParaRPr>
        </a:p>
        <a:p>
          <a:pPr algn="l"/>
          <a:r>
            <a:rPr kumimoji="1" lang="ja-JP" altLang="en-US" sz="1100">
              <a:solidFill>
                <a:schemeClr val="tx1"/>
              </a:solidFill>
              <a:latin typeface="ＭＳ 明朝" pitchFamily="17" charset="-128"/>
              <a:ea typeface="ＭＳ 明朝" pitchFamily="17" charset="-128"/>
            </a:rPr>
            <a:t>平成２７年４月１日から</a:t>
          </a:r>
          <a:endParaRPr kumimoji="1" lang="en-US" altLang="ja-JP" sz="1100">
            <a:solidFill>
              <a:schemeClr val="tx1"/>
            </a:solidFill>
            <a:latin typeface="ＭＳ 明朝" pitchFamily="17" charset="-128"/>
            <a:ea typeface="ＭＳ 明朝" pitchFamily="17" charset="-128"/>
          </a:endParaRPr>
        </a:p>
        <a:p>
          <a:pPr algn="l"/>
          <a:r>
            <a:rPr kumimoji="1" lang="ja-JP" altLang="en-US" sz="1100">
              <a:solidFill>
                <a:schemeClr val="tx1"/>
              </a:solidFill>
              <a:latin typeface="ＭＳ 明朝" pitchFamily="17" charset="-128"/>
              <a:ea typeface="ＭＳ 明朝" pitchFamily="17" charset="-128"/>
            </a:rPr>
            <a:t>（退職日の翌日が国保加入日となるため）</a:t>
          </a:r>
        </a:p>
      </xdr:txBody>
    </xdr:sp>
    <xdr:clientData/>
  </xdr:twoCellAnchor>
  <xdr:twoCellAnchor>
    <xdr:from>
      <xdr:col>17</xdr:col>
      <xdr:colOff>342901</xdr:colOff>
      <xdr:row>38</xdr:row>
      <xdr:rowOff>0</xdr:rowOff>
    </xdr:from>
    <xdr:to>
      <xdr:col>21</xdr:col>
      <xdr:colOff>68036</xdr:colOff>
      <xdr:row>43</xdr:row>
      <xdr:rowOff>122464</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10031187" y="6558643"/>
          <a:ext cx="2296885" cy="1006928"/>
          <a:chOff x="10096501" y="6410325"/>
          <a:chExt cx="2247898" cy="733425"/>
        </a:xfrm>
      </xdr:grpSpPr>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10582274" y="6410325"/>
            <a:ext cx="1762125" cy="733425"/>
          </a:xfrm>
          <a:prstGeom prst="roundRect">
            <a:avLst/>
          </a:prstGeom>
          <a:solidFill>
            <a:schemeClr val="accent1">
              <a:lumMod val="40000"/>
              <a:lumOff val="60000"/>
            </a:schemeClr>
          </a:solidFill>
          <a:ln w="2222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最初から入力し直すときは、こちらのももりんをクリックしてください。</a:t>
            </a:r>
          </a:p>
        </xdr:txBody>
      </xdr:sp>
      <xdr:sp macro="" textlink="">
        <xdr:nvSpPr>
          <xdr:cNvPr id="6" name="左矢印 5">
            <a:extLst>
              <a:ext uri="{FF2B5EF4-FFF2-40B4-BE49-F238E27FC236}">
                <a16:creationId xmlns:a16="http://schemas.microsoft.com/office/drawing/2014/main" id="{00000000-0008-0000-0100-000006000000}"/>
              </a:ext>
            </a:extLst>
          </xdr:cNvPr>
          <xdr:cNvSpPr/>
        </xdr:nvSpPr>
        <xdr:spPr>
          <a:xfrm>
            <a:off x="10096501" y="6591300"/>
            <a:ext cx="419100" cy="304800"/>
          </a:xfrm>
          <a:prstGeom prst="lef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680356</xdr:colOff>
      <xdr:row>108</xdr:row>
      <xdr:rowOff>0</xdr:rowOff>
    </xdr:from>
    <xdr:to>
      <xdr:col>22</xdr:col>
      <xdr:colOff>489858</xdr:colOff>
      <xdr:row>117</xdr:row>
      <xdr:rowOff>21611</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11048999" y="19131643"/>
          <a:ext cx="2530930" cy="1613647"/>
        </a:xfrm>
        <a:prstGeom prst="rect">
          <a:avLst/>
        </a:prstGeom>
        <a:solidFill>
          <a:schemeClr val="bg1"/>
        </a:solidFill>
        <a:ln>
          <a:solidFill>
            <a:schemeClr val="tx1">
              <a:alpha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400" b="0">
              <a:solidFill>
                <a:sysClr val="windowText" lastClr="000000"/>
              </a:solidFill>
              <a:effectLst/>
              <a:latin typeface="ＭＳ ゴシック" pitchFamily="49" charset="-128"/>
              <a:ea typeface="ＭＳ ゴシック" pitchFamily="49" charset="-128"/>
              <a:cs typeface="+mn-cs"/>
            </a:rPr>
            <a:t>試算結果は</a:t>
          </a:r>
          <a:r>
            <a:rPr kumimoji="1" lang="ja-JP" altLang="ja-JP" sz="1400" b="1" i="0" u="sng">
              <a:solidFill>
                <a:sysClr val="windowText" lastClr="000000"/>
              </a:solidFill>
              <a:effectLst/>
              <a:latin typeface="ＭＳ ゴシック" pitchFamily="49" charset="-128"/>
              <a:ea typeface="ＭＳ ゴシック" pitchFamily="49" charset="-128"/>
              <a:cs typeface="+mn-cs"/>
            </a:rPr>
            <a:t>実際の税額よりも高い</a:t>
          </a:r>
          <a:r>
            <a:rPr kumimoji="1" lang="ja-JP" altLang="ja-JP" sz="1400" b="0" i="0" u="sng">
              <a:solidFill>
                <a:sysClr val="windowText" lastClr="000000"/>
              </a:solidFill>
              <a:effectLst/>
              <a:latin typeface="ＭＳ ゴシック" pitchFamily="49" charset="-128"/>
              <a:ea typeface="ＭＳ ゴシック" pitchFamily="49" charset="-128"/>
              <a:cs typeface="+mn-cs"/>
            </a:rPr>
            <a:t>場合があります</a:t>
          </a:r>
          <a:r>
            <a:rPr kumimoji="1" lang="ja-JP" altLang="ja-JP" sz="1400" b="0" i="0" u="none">
              <a:solidFill>
                <a:sysClr val="windowText" lastClr="000000"/>
              </a:solidFill>
              <a:effectLst/>
              <a:latin typeface="ＭＳ ゴシック" pitchFamily="49" charset="-128"/>
              <a:ea typeface="ＭＳ ゴシック" pitchFamily="49" charset="-128"/>
              <a:cs typeface="+mn-cs"/>
            </a:rPr>
            <a:t>。</a:t>
          </a:r>
          <a:endParaRPr lang="ja-JP" altLang="ja-JP" sz="1400" b="0" u="none">
            <a:solidFill>
              <a:sysClr val="windowText" lastClr="000000"/>
            </a:solidFill>
            <a:effectLst/>
            <a:latin typeface="ＭＳ ゴシック" pitchFamily="49" charset="-128"/>
            <a:ea typeface="ＭＳ ゴシック" pitchFamily="49" charset="-128"/>
          </a:endParaRPr>
        </a:p>
        <a:p>
          <a:pPr algn="ctr"/>
          <a:r>
            <a:rPr kumimoji="1" lang="ja-JP" altLang="en-US" sz="1100" b="0">
              <a:solidFill>
                <a:sysClr val="windowText" lastClr="000000"/>
              </a:solidFill>
              <a:effectLst/>
              <a:latin typeface="ＭＳ ゴシック" pitchFamily="49" charset="-128"/>
              <a:ea typeface="ＭＳ ゴシック" pitchFamily="49" charset="-128"/>
              <a:cs typeface="+mn-cs"/>
            </a:rPr>
            <a:t>（</a:t>
          </a:r>
          <a:r>
            <a:rPr kumimoji="1" lang="ja-JP" altLang="ja-JP" sz="1100" b="0">
              <a:solidFill>
                <a:sysClr val="windowText" lastClr="000000"/>
              </a:solidFill>
              <a:effectLst/>
              <a:latin typeface="ＭＳ ゴシック" pitchFamily="49" charset="-128"/>
              <a:ea typeface="ＭＳ ゴシック" pitchFamily="49" charset="-128"/>
              <a:cs typeface="+mn-cs"/>
            </a:rPr>
            <a:t>一定の所得以下の世帯に対して、均等割・平等割を軽減する制度を考慮しないため</a:t>
          </a:r>
          <a:r>
            <a:rPr kumimoji="1" lang="ja-JP" altLang="en-US" sz="1100" b="0" i="0">
              <a:solidFill>
                <a:sysClr val="windowText" lastClr="000000"/>
              </a:solidFill>
              <a:effectLst/>
              <a:latin typeface="ＭＳ ゴシック" pitchFamily="49" charset="-128"/>
              <a:ea typeface="ＭＳ ゴシック" pitchFamily="49" charset="-128"/>
              <a:cs typeface="+mn-cs"/>
            </a:rPr>
            <a:t>）</a:t>
          </a:r>
          <a:endParaRPr kumimoji="1" lang="ja-JP" altLang="en-US" sz="1100" b="0">
            <a:solidFill>
              <a:sysClr val="windowText" lastClr="000000"/>
            </a:solidFill>
            <a:latin typeface="ＭＳ ゴシック" pitchFamily="49" charset="-128"/>
            <a:ea typeface="ＭＳ ゴシック" pitchFamily="49" charset="-128"/>
          </a:endParaRPr>
        </a:p>
      </xdr:txBody>
    </xdr:sp>
    <xdr:clientData/>
  </xdr:twoCellAnchor>
  <xdr:twoCellAnchor>
    <xdr:from>
      <xdr:col>18</xdr:col>
      <xdr:colOff>489856</xdr:colOff>
      <xdr:row>99</xdr:row>
      <xdr:rowOff>27215</xdr:rowOff>
    </xdr:from>
    <xdr:to>
      <xdr:col>25</xdr:col>
      <xdr:colOff>497061</xdr:colOff>
      <xdr:row>107</xdr:row>
      <xdr:rowOff>12807</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10858499" y="17566822"/>
          <a:ext cx="3966883" cy="1400735"/>
        </a:xfrm>
        <a:prstGeom prst="rect">
          <a:avLst/>
        </a:prstGeom>
        <a:solidFill>
          <a:schemeClr val="bg1"/>
        </a:solidFill>
        <a:ln>
          <a:solidFill>
            <a:schemeClr val="tx1">
              <a:alpha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400" b="1">
              <a:solidFill>
                <a:sysClr val="windowText" lastClr="000000"/>
              </a:solidFill>
              <a:effectLst/>
              <a:latin typeface="ＭＳ ゴシック" pitchFamily="49" charset="-128"/>
              <a:ea typeface="ＭＳ ゴシック" pitchFamily="49" charset="-128"/>
              <a:cs typeface="+mn-cs"/>
            </a:rPr>
            <a:t>試算結果は</a:t>
          </a:r>
          <a:r>
            <a:rPr kumimoji="1" lang="ja-JP" altLang="ja-JP" sz="1300" b="1" i="0" u="sng">
              <a:solidFill>
                <a:sysClr val="windowText" lastClr="000000"/>
              </a:solidFill>
              <a:effectLst/>
              <a:latin typeface="ＭＳ ゴシック" pitchFamily="49" charset="-128"/>
              <a:ea typeface="ＭＳ ゴシック" pitchFamily="49" charset="-128"/>
              <a:cs typeface="+mn-cs"/>
            </a:rPr>
            <a:t>実際の税額よりも高い場合があります</a:t>
          </a:r>
          <a:r>
            <a:rPr kumimoji="1" lang="ja-JP" altLang="ja-JP" sz="1300" b="1" i="0" u="none">
              <a:solidFill>
                <a:sysClr val="windowText" lastClr="000000"/>
              </a:solidFill>
              <a:effectLst/>
              <a:latin typeface="ＭＳ ゴシック" pitchFamily="49" charset="-128"/>
              <a:ea typeface="ＭＳ ゴシック" pitchFamily="49" charset="-128"/>
              <a:cs typeface="+mn-cs"/>
            </a:rPr>
            <a:t>。</a:t>
          </a:r>
          <a:endParaRPr lang="ja-JP" altLang="ja-JP" sz="1300" b="1" u="none">
            <a:solidFill>
              <a:sysClr val="windowText" lastClr="000000"/>
            </a:solidFill>
            <a:effectLst/>
            <a:latin typeface="ＭＳ ゴシック" pitchFamily="49" charset="-128"/>
            <a:ea typeface="ＭＳ ゴシック" pitchFamily="49" charset="-128"/>
          </a:endParaRPr>
        </a:p>
        <a:p>
          <a:pPr algn="ctr"/>
          <a:r>
            <a:rPr kumimoji="1" lang="ja-JP" altLang="en-US" sz="1100" b="1">
              <a:solidFill>
                <a:sysClr val="windowText" lastClr="000000"/>
              </a:solidFill>
              <a:effectLst/>
              <a:latin typeface="ＭＳ ゴシック" pitchFamily="49" charset="-128"/>
              <a:ea typeface="ＭＳ ゴシック" pitchFamily="49" charset="-128"/>
              <a:cs typeface="+mn-cs"/>
            </a:rPr>
            <a:t>（</a:t>
          </a:r>
          <a:r>
            <a:rPr kumimoji="1" lang="ja-JP" altLang="ja-JP" sz="1100" b="1">
              <a:solidFill>
                <a:sysClr val="windowText" lastClr="000000"/>
              </a:solidFill>
              <a:effectLst/>
              <a:latin typeface="ＭＳ ゴシック" pitchFamily="49" charset="-128"/>
              <a:ea typeface="ＭＳ ゴシック" pitchFamily="49" charset="-128"/>
              <a:cs typeface="+mn-cs"/>
            </a:rPr>
            <a:t>一定</a:t>
          </a:r>
          <a:r>
            <a:rPr kumimoji="1" lang="ja-JP" altLang="en-US" sz="1100" b="1">
              <a:solidFill>
                <a:sysClr val="windowText" lastClr="000000"/>
              </a:solidFill>
              <a:effectLst/>
              <a:latin typeface="ＭＳ ゴシック" pitchFamily="49" charset="-128"/>
              <a:ea typeface="ＭＳ ゴシック" pitchFamily="49" charset="-128"/>
              <a:cs typeface="+mn-cs"/>
            </a:rPr>
            <a:t>所得以下の世帯に対する軽減措置分が</a:t>
          </a:r>
          <a:endParaRPr kumimoji="1" lang="en-US" altLang="ja-JP" sz="1100" b="1">
            <a:solidFill>
              <a:sysClr val="windowText" lastClr="000000"/>
            </a:solidFill>
            <a:effectLst/>
            <a:latin typeface="ＭＳ ゴシック" pitchFamily="49" charset="-128"/>
            <a:ea typeface="ＭＳ ゴシック" pitchFamily="49" charset="-128"/>
            <a:cs typeface="+mn-cs"/>
          </a:endParaRPr>
        </a:p>
        <a:p>
          <a:pPr algn="ctr"/>
          <a:r>
            <a:rPr kumimoji="1" lang="ja-JP" altLang="en-US" sz="1100" b="1">
              <a:solidFill>
                <a:sysClr val="windowText" lastClr="000000"/>
              </a:solidFill>
              <a:effectLst/>
              <a:latin typeface="ＭＳ ゴシック" pitchFamily="49" charset="-128"/>
              <a:ea typeface="ＭＳ ゴシック" pitchFamily="49" charset="-128"/>
              <a:cs typeface="+mn-cs"/>
            </a:rPr>
            <a:t>反映していないため</a:t>
          </a:r>
          <a:r>
            <a:rPr kumimoji="1" lang="ja-JP" altLang="en-US" sz="1100" b="1" i="0">
              <a:solidFill>
                <a:sysClr val="windowText" lastClr="000000"/>
              </a:solidFill>
              <a:effectLst/>
              <a:latin typeface="ＭＳ ゴシック" pitchFamily="49" charset="-128"/>
              <a:ea typeface="ＭＳ ゴシック" pitchFamily="49" charset="-128"/>
              <a:cs typeface="+mn-cs"/>
            </a:rPr>
            <a:t>）</a:t>
          </a:r>
          <a:endParaRPr kumimoji="1" lang="ja-JP" altLang="en-US" sz="1100" b="1">
            <a:solidFill>
              <a:sysClr val="windowText" lastClr="000000"/>
            </a:solidFill>
            <a:latin typeface="ＭＳ ゴシック" pitchFamily="49" charset="-128"/>
            <a:ea typeface="ＭＳ ゴシック" pitchFamily="49" charset="-128"/>
          </a:endParaRPr>
        </a:p>
      </xdr:txBody>
    </xdr:sp>
    <xdr:clientData/>
  </xdr:twoCellAnchor>
  <xdr:twoCellAnchor editAs="oneCell">
    <xdr:from>
      <xdr:col>5</xdr:col>
      <xdr:colOff>78441</xdr:colOff>
      <xdr:row>78</xdr:row>
      <xdr:rowOff>0</xdr:rowOff>
    </xdr:from>
    <xdr:to>
      <xdr:col>6</xdr:col>
      <xdr:colOff>481853</xdr:colOff>
      <xdr:row>80</xdr:row>
      <xdr:rowOff>44823</xdr:rowOff>
    </xdr:to>
    <xdr:pic>
      <xdr:nvPicPr>
        <xdr:cNvPr id="33" name="図 32">
          <a:extLst>
            <a:ext uri="{FF2B5EF4-FFF2-40B4-BE49-F238E27FC236}">
              <a16:creationId xmlns:a16="http://schemas.microsoft.com/office/drawing/2014/main" id="{00000000-0008-0000-0100-000021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459" r="33765" b="4878"/>
        <a:stretch/>
      </xdr:blipFill>
      <xdr:spPr bwMode="auto">
        <a:xfrm>
          <a:off x="2543735" y="13435853"/>
          <a:ext cx="1086971" cy="4370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398319</xdr:colOff>
      <xdr:row>110</xdr:row>
      <xdr:rowOff>108391</xdr:rowOff>
    </xdr:from>
    <xdr:to>
      <xdr:col>14</xdr:col>
      <xdr:colOff>389635</xdr:colOff>
      <xdr:row>117</xdr:row>
      <xdr:rowOff>151199</xdr:rowOff>
    </xdr:to>
    <xdr:pic>
      <xdr:nvPicPr>
        <xdr:cNvPr id="31" name="図 30">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4"/>
        <a:stretch>
          <a:fillRect/>
        </a:stretch>
      </xdr:blipFill>
      <xdr:spPr>
        <a:xfrm>
          <a:off x="6788728" y="19262300"/>
          <a:ext cx="1376771" cy="1255081"/>
        </a:xfrm>
        <a:prstGeom prst="rect">
          <a:avLst/>
        </a:prstGeom>
      </xdr:spPr>
    </xdr:pic>
    <xdr:clientData/>
  </xdr:twoCellAnchor>
  <xdr:twoCellAnchor editAs="oneCell">
    <xdr:from>
      <xdr:col>12</xdr:col>
      <xdr:colOff>259774</xdr:colOff>
      <xdr:row>93</xdr:row>
      <xdr:rowOff>121227</xdr:rowOff>
    </xdr:from>
    <xdr:to>
      <xdr:col>17</xdr:col>
      <xdr:colOff>152034</xdr:colOff>
      <xdr:row>109</xdr:row>
      <xdr:rowOff>84116</xdr:rowOff>
    </xdr:to>
    <xdr:pic>
      <xdr:nvPicPr>
        <xdr:cNvPr id="35" name="図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5"/>
        <a:stretch>
          <a:fillRect/>
        </a:stretch>
      </xdr:blipFill>
      <xdr:spPr>
        <a:xfrm>
          <a:off x="6650183" y="16331045"/>
          <a:ext cx="3355896" cy="2733798"/>
        </a:xfrm>
        <a:prstGeom prst="rect">
          <a:avLst/>
        </a:prstGeom>
      </xdr:spPr>
    </xdr:pic>
    <xdr:clientData/>
  </xdr:twoCellAnchor>
  <xdr:twoCellAnchor>
    <xdr:from>
      <xdr:col>1</xdr:col>
      <xdr:colOff>381000</xdr:colOff>
      <xdr:row>92</xdr:row>
      <xdr:rowOff>68038</xdr:rowOff>
    </xdr:from>
    <xdr:to>
      <xdr:col>11</xdr:col>
      <xdr:colOff>33779</xdr:colOff>
      <xdr:row>121</xdr:row>
      <xdr:rowOff>40823</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557893" y="16369395"/>
          <a:ext cx="5082029" cy="5102678"/>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kumimoji="1" lang="ja-JP" altLang="en-US" sz="2000" b="1">
              <a:solidFill>
                <a:schemeClr val="tx1"/>
              </a:solidFill>
              <a:latin typeface="ＭＳ 明朝" pitchFamily="17" charset="-128"/>
              <a:ea typeface="ＭＳ 明朝" pitchFamily="17" charset="-128"/>
            </a:rPr>
            <a:t>必ずお読みください</a:t>
          </a:r>
          <a:endParaRPr kumimoji="1" lang="en-US" altLang="ja-JP" sz="1300" b="1">
            <a:solidFill>
              <a:schemeClr val="tx1"/>
            </a:solidFill>
            <a:latin typeface="ＭＳ 明朝" pitchFamily="17" charset="-128"/>
            <a:ea typeface="ＭＳ 明朝" pitchFamily="17" charset="-128"/>
          </a:endParaRPr>
        </a:p>
        <a:p>
          <a:pPr algn="l"/>
          <a:endParaRPr kumimoji="1" lang="en-US" altLang="ja-JP" sz="1600" b="1">
            <a:solidFill>
              <a:schemeClr val="tx1"/>
            </a:solidFill>
            <a:latin typeface="ＭＳ 明朝" pitchFamily="17" charset="-128"/>
            <a:ea typeface="ＭＳ 明朝" pitchFamily="17" charset="-128"/>
          </a:endParaRPr>
        </a:p>
        <a:p>
          <a:pPr algn="l"/>
          <a:r>
            <a:rPr kumimoji="1" lang="ja-JP" altLang="en-US" sz="1600" b="1">
              <a:solidFill>
                <a:schemeClr val="tx1"/>
              </a:solidFill>
              <a:latin typeface="ＭＳ 明朝" pitchFamily="17" charset="-128"/>
              <a:ea typeface="ＭＳ 明朝" pitchFamily="17" charset="-128"/>
            </a:rPr>
            <a:t>１．税率が確定する７月までは、平成２６年度</a:t>
          </a:r>
          <a:endParaRPr kumimoji="1" lang="en-US" altLang="ja-JP" sz="1600" b="1">
            <a:solidFill>
              <a:schemeClr val="tx1"/>
            </a:solidFill>
            <a:latin typeface="ＭＳ 明朝" pitchFamily="17" charset="-128"/>
            <a:ea typeface="ＭＳ 明朝" pitchFamily="17" charset="-128"/>
          </a:endParaRPr>
        </a:p>
        <a:p>
          <a:pPr algn="l"/>
          <a:r>
            <a:rPr kumimoji="1" lang="ja-JP" altLang="en-US" sz="1600" b="1">
              <a:solidFill>
                <a:schemeClr val="tx1"/>
              </a:solidFill>
              <a:latin typeface="ＭＳ 明朝" pitchFamily="17" charset="-128"/>
              <a:ea typeface="ＭＳ 明朝" pitchFamily="17" charset="-128"/>
            </a:rPr>
            <a:t>　　の税率をもとに計算しています。</a:t>
          </a:r>
          <a:endParaRPr kumimoji="1" lang="en-US" altLang="ja-JP" sz="1600" b="1">
            <a:solidFill>
              <a:schemeClr val="tx1"/>
            </a:solidFill>
            <a:latin typeface="ＭＳ 明朝" pitchFamily="17" charset="-128"/>
            <a:ea typeface="ＭＳ 明朝" pitchFamily="17" charset="-128"/>
          </a:endParaRPr>
        </a:p>
        <a:p>
          <a:pPr algn="l"/>
          <a:endParaRPr kumimoji="1" lang="en-US" altLang="ja-JP" sz="1600" b="1">
            <a:solidFill>
              <a:schemeClr val="tx1"/>
            </a:solidFill>
            <a:latin typeface="ＭＳ 明朝" pitchFamily="17" charset="-128"/>
            <a:ea typeface="ＭＳ 明朝" pitchFamily="17" charset="-128"/>
          </a:endParaRPr>
        </a:p>
        <a:p>
          <a:pPr algn="l"/>
          <a:r>
            <a:rPr kumimoji="1" lang="ja-JP" altLang="en-US" sz="1600" b="1">
              <a:solidFill>
                <a:schemeClr val="tx1"/>
              </a:solidFill>
              <a:latin typeface="ＭＳ 明朝" pitchFamily="17" charset="-128"/>
              <a:ea typeface="ＭＳ 明朝" pitchFamily="17" charset="-128"/>
            </a:rPr>
            <a:t>２．１ヶ月当たりの税額と、１期当たりの税</a:t>
          </a:r>
          <a:endParaRPr kumimoji="1" lang="en-US" altLang="ja-JP" sz="1600" b="1">
            <a:solidFill>
              <a:schemeClr val="tx1"/>
            </a:solidFill>
            <a:latin typeface="ＭＳ 明朝" pitchFamily="17" charset="-128"/>
            <a:ea typeface="ＭＳ 明朝" pitchFamily="17" charset="-128"/>
          </a:endParaRPr>
        </a:p>
        <a:p>
          <a:pPr algn="l"/>
          <a:r>
            <a:rPr kumimoji="1" lang="ja-JP" altLang="en-US" sz="1600" b="1">
              <a:solidFill>
                <a:schemeClr val="tx1"/>
              </a:solidFill>
              <a:latin typeface="ＭＳ 明朝" pitchFamily="17" charset="-128"/>
              <a:ea typeface="ＭＳ 明朝" pitchFamily="17" charset="-128"/>
            </a:rPr>
            <a:t>　　額は異なります。</a:t>
          </a:r>
          <a:endParaRPr kumimoji="1" lang="en-US" altLang="ja-JP" sz="1600" b="1">
            <a:solidFill>
              <a:schemeClr val="tx1"/>
            </a:solidFill>
            <a:latin typeface="ＭＳ 明朝" pitchFamily="17" charset="-128"/>
            <a:ea typeface="ＭＳ 明朝" pitchFamily="17" charset="-128"/>
          </a:endParaRPr>
        </a:p>
        <a:p>
          <a:pPr algn="l"/>
          <a:endParaRPr kumimoji="1" lang="en-US" altLang="ja-JP" sz="1800" b="1">
            <a:solidFill>
              <a:schemeClr val="tx1"/>
            </a:solidFill>
            <a:latin typeface="ＭＳ 明朝" pitchFamily="17" charset="-128"/>
            <a:ea typeface="ＭＳ 明朝" pitchFamily="17" charset="-128"/>
          </a:endParaRPr>
        </a:p>
        <a:p>
          <a:pPr algn="l"/>
          <a:r>
            <a:rPr kumimoji="1" lang="ja-JP" altLang="en-US" sz="1800" b="1">
              <a:solidFill>
                <a:schemeClr val="tx1"/>
              </a:solidFill>
              <a:latin typeface="ＭＳ 明朝" pitchFamily="17" charset="-128"/>
              <a:ea typeface="ＭＳ 明朝" pitchFamily="17" charset="-128"/>
            </a:rPr>
            <a:t>３</a:t>
          </a:r>
          <a:r>
            <a:rPr kumimoji="1" lang="ja-JP" altLang="en-US" sz="1600" b="1">
              <a:solidFill>
                <a:schemeClr val="tx1"/>
              </a:solidFill>
              <a:latin typeface="ＭＳ 明朝" pitchFamily="17" charset="-128"/>
              <a:ea typeface="ＭＳ 明朝" pitchFamily="17" charset="-128"/>
            </a:rPr>
            <a:t>．試算結果は概算であり、実際の税額と異</a:t>
          </a:r>
          <a:endParaRPr kumimoji="1" lang="en-US" altLang="ja-JP" sz="1600" b="1">
            <a:solidFill>
              <a:schemeClr val="tx1"/>
            </a:solidFill>
            <a:latin typeface="ＭＳ 明朝" pitchFamily="17" charset="-128"/>
            <a:ea typeface="ＭＳ 明朝" pitchFamily="17" charset="-128"/>
          </a:endParaRPr>
        </a:p>
        <a:p>
          <a:pPr algn="l"/>
          <a:r>
            <a:rPr kumimoji="1" lang="ja-JP" altLang="en-US" sz="1600" b="1">
              <a:solidFill>
                <a:schemeClr val="tx1"/>
              </a:solidFill>
              <a:latin typeface="ＭＳ 明朝" pitchFamily="17" charset="-128"/>
              <a:ea typeface="ＭＳ 明朝" pitchFamily="17" charset="-128"/>
            </a:rPr>
            <a:t>　　なる場合があります。</a:t>
          </a:r>
          <a:endParaRPr kumimoji="1" lang="en-US" altLang="ja-JP" sz="1600" b="1">
            <a:solidFill>
              <a:schemeClr val="tx1"/>
            </a:solidFill>
            <a:latin typeface="ＭＳ 明朝" pitchFamily="17" charset="-128"/>
            <a:ea typeface="ＭＳ 明朝" pitchFamily="17" charset="-128"/>
          </a:endParaRPr>
        </a:p>
        <a:p>
          <a:pPr algn="l"/>
          <a:endParaRPr kumimoji="1" lang="en-US" altLang="ja-JP" sz="1600" b="1">
            <a:solidFill>
              <a:schemeClr val="tx1"/>
            </a:solidFill>
            <a:latin typeface="ＭＳ 明朝" pitchFamily="17" charset="-128"/>
            <a:ea typeface="ＭＳ 明朝" pitchFamily="17" charset="-128"/>
          </a:endParaRPr>
        </a:p>
        <a:p>
          <a:pPr algn="l"/>
          <a:r>
            <a:rPr kumimoji="1" lang="ja-JP" altLang="en-US" sz="1600" b="1">
              <a:solidFill>
                <a:schemeClr val="tx1"/>
              </a:solidFill>
              <a:latin typeface="ＭＳ 明朝" pitchFamily="17" charset="-128"/>
              <a:ea typeface="ＭＳ 明朝" pitchFamily="17" charset="-128"/>
            </a:rPr>
            <a:t>４．試算した時点と 加入までの間に世帯構成、</a:t>
          </a:r>
          <a:endParaRPr kumimoji="1" lang="en-US" altLang="ja-JP" sz="1600" b="1">
            <a:solidFill>
              <a:schemeClr val="tx1"/>
            </a:solidFill>
            <a:latin typeface="ＭＳ 明朝" pitchFamily="17" charset="-128"/>
            <a:ea typeface="ＭＳ 明朝" pitchFamily="17" charset="-128"/>
          </a:endParaRPr>
        </a:p>
        <a:p>
          <a:pPr algn="l"/>
          <a:r>
            <a:rPr kumimoji="1" lang="en-US" altLang="ja-JP" sz="1600" b="1">
              <a:solidFill>
                <a:schemeClr val="tx1"/>
              </a:solidFill>
              <a:latin typeface="ＭＳ 明朝" pitchFamily="17" charset="-128"/>
              <a:ea typeface="ＭＳ 明朝" pitchFamily="17" charset="-128"/>
            </a:rPr>
            <a:t>    </a:t>
          </a:r>
          <a:r>
            <a:rPr kumimoji="1" lang="ja-JP" altLang="en-US" sz="1600" b="1">
              <a:solidFill>
                <a:schemeClr val="tx1"/>
              </a:solidFill>
              <a:latin typeface="ＭＳ 明朝" pitchFamily="17" charset="-128"/>
              <a:ea typeface="ＭＳ 明朝" pitchFamily="17" charset="-128"/>
            </a:rPr>
            <a:t>加入者数、 所得の異動（変更）がある場</a:t>
          </a:r>
          <a:endParaRPr kumimoji="1" lang="en-US" altLang="ja-JP" sz="1600" b="1">
            <a:solidFill>
              <a:schemeClr val="tx1"/>
            </a:solidFill>
            <a:latin typeface="ＭＳ 明朝" pitchFamily="17" charset="-128"/>
            <a:ea typeface="ＭＳ 明朝" pitchFamily="17" charset="-128"/>
          </a:endParaRPr>
        </a:p>
        <a:p>
          <a:pPr algn="l"/>
          <a:r>
            <a:rPr kumimoji="1" lang="ja-JP" altLang="en-US" sz="1600" b="1">
              <a:solidFill>
                <a:schemeClr val="tx1"/>
              </a:solidFill>
              <a:latin typeface="ＭＳ 明朝" pitchFamily="17" charset="-128"/>
              <a:ea typeface="ＭＳ 明朝" pitchFamily="17" charset="-128"/>
            </a:rPr>
            <a:t>　　合には、実際の税額と異なりますので、再</a:t>
          </a:r>
          <a:endParaRPr kumimoji="1" lang="en-US" altLang="ja-JP" sz="1600" b="1">
            <a:solidFill>
              <a:schemeClr val="tx1"/>
            </a:solidFill>
            <a:latin typeface="ＭＳ 明朝" pitchFamily="17" charset="-128"/>
            <a:ea typeface="ＭＳ 明朝" pitchFamily="17" charset="-128"/>
          </a:endParaRPr>
        </a:p>
        <a:p>
          <a:pPr algn="l"/>
          <a:r>
            <a:rPr kumimoji="1" lang="ja-JP" altLang="en-US" sz="1600" b="1">
              <a:solidFill>
                <a:schemeClr val="tx1"/>
              </a:solidFill>
              <a:latin typeface="ＭＳ 明朝" pitchFamily="17" charset="-128"/>
              <a:ea typeface="ＭＳ 明朝" pitchFamily="17" charset="-128"/>
            </a:rPr>
            <a:t>　　度試算を行ってください</a:t>
          </a:r>
          <a:r>
            <a:rPr kumimoji="1" lang="ja-JP" altLang="en-US" sz="1600" b="1" u="none">
              <a:solidFill>
                <a:schemeClr val="tx1"/>
              </a:solidFill>
              <a:latin typeface="ＭＳ 明朝" pitchFamily="17" charset="-128"/>
              <a:ea typeface="ＭＳ 明朝" pitchFamily="17" charset="-128"/>
            </a:rPr>
            <a:t>。</a:t>
          </a:r>
          <a:r>
            <a:rPr kumimoji="1" lang="ja-JP" altLang="en-US" sz="1600" b="1" u="sng">
              <a:solidFill>
                <a:schemeClr val="tx1"/>
              </a:solidFill>
              <a:latin typeface="ＭＳ 明朝" pitchFamily="17" charset="-128"/>
              <a:ea typeface="ＭＳ 明朝" pitchFamily="17" charset="-128"/>
            </a:rPr>
            <a:t>必ずご自身で再</a:t>
          </a:r>
          <a:endParaRPr kumimoji="1" lang="en-US" altLang="ja-JP" sz="1600" b="1" u="sng">
            <a:solidFill>
              <a:schemeClr val="tx1"/>
            </a:solidFill>
            <a:latin typeface="ＭＳ 明朝" pitchFamily="17" charset="-128"/>
            <a:ea typeface="ＭＳ 明朝" pitchFamily="17" charset="-128"/>
          </a:endParaRPr>
        </a:p>
        <a:p>
          <a:pPr algn="l"/>
          <a:r>
            <a:rPr kumimoji="1" lang="ja-JP" altLang="en-US" sz="1600" b="1" u="none">
              <a:solidFill>
                <a:schemeClr val="tx1"/>
              </a:solidFill>
              <a:latin typeface="ＭＳ 明朝" pitchFamily="17" charset="-128"/>
              <a:ea typeface="ＭＳ 明朝" pitchFamily="17" charset="-128"/>
            </a:rPr>
            <a:t>　　</a:t>
          </a:r>
          <a:r>
            <a:rPr kumimoji="1" lang="ja-JP" altLang="en-US" sz="1600" b="1" u="sng">
              <a:solidFill>
                <a:schemeClr val="tx1"/>
              </a:solidFill>
              <a:latin typeface="ＭＳ 明朝" pitchFamily="17" charset="-128"/>
              <a:ea typeface="ＭＳ 明朝" pitchFamily="17" charset="-128"/>
            </a:rPr>
            <a:t>確認をお願いします。</a:t>
          </a:r>
          <a:endParaRPr kumimoji="1" lang="en-US" altLang="ja-JP" sz="1600" b="1" u="sng">
            <a:solidFill>
              <a:schemeClr val="tx1"/>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fukushima.fukushima.jp/kokuho-shikaku/kurashi/kokuho/hokenkyufu/sedo/gennmenn/syotoku.html" TargetMode="External"/><Relationship Id="rId1" Type="http://schemas.openxmlformats.org/officeDocument/2006/relationships/hyperlink" Target="https://www.city.fukushima.fukushima.jp/kokuho-shikaku/kurashi/kokuho/hokenkyufu/sedo/1061.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Q135"/>
  <sheetViews>
    <sheetView showGridLines="0" tabSelected="1" topLeftCell="A10" zoomScale="70" zoomScaleNormal="70" zoomScaleSheetLayoutView="91" workbookViewId="0">
      <selection activeCell="J17" sqref="J17:K17"/>
    </sheetView>
  </sheetViews>
  <sheetFormatPr defaultRowHeight="13.5"/>
  <cols>
    <col min="1" max="1" width="3.5" style="24" bestFit="1" customWidth="1"/>
    <col min="2" max="3" width="6" style="24" customWidth="1"/>
    <col min="4" max="4" width="8.25" style="24" customWidth="1"/>
    <col min="5" max="5" width="8" style="24" customWidth="1"/>
    <col min="6" max="6" width="14.625" style="24" customWidth="1"/>
    <col min="7" max="7" width="15.5" style="24" customWidth="1"/>
    <col min="8" max="8" width="14.875" style="24" customWidth="1"/>
    <col min="9" max="9" width="14.25" style="24" customWidth="1"/>
    <col min="10" max="10" width="5" style="24" customWidth="1"/>
    <col min="11" max="11" width="11" style="24" customWidth="1"/>
    <col min="12" max="12" width="17.125" style="24" customWidth="1"/>
    <col min="13" max="13" width="12.375" style="24" customWidth="1"/>
    <col min="14" max="15" width="8.25" style="24" hidden="1" customWidth="1"/>
    <col min="16" max="17" width="8" style="24" hidden="1" customWidth="1"/>
    <col min="18" max="18" width="8" style="24" customWidth="1"/>
    <col min="19" max="19" width="5.75" style="24" customWidth="1"/>
    <col min="20" max="20" width="5.25" style="24" customWidth="1"/>
    <col min="21" max="21" width="3.875" style="24" customWidth="1"/>
    <col min="22" max="22" width="5.25" style="24" customWidth="1"/>
    <col min="23" max="23" width="3.625" style="24" customWidth="1"/>
    <col min="24" max="24" width="4.125" style="24" customWidth="1"/>
    <col min="25" max="25" width="5.25" style="24" customWidth="1"/>
    <col min="26" max="26" width="5.625" style="24" customWidth="1"/>
    <col min="27" max="27" width="19.75" style="24" customWidth="1"/>
    <col min="28" max="28" width="13" style="24" customWidth="1"/>
    <col min="29" max="29" width="7.125" style="24" hidden="1" customWidth="1"/>
    <col min="30" max="30" width="14.75" style="24" hidden="1" customWidth="1"/>
    <col min="31" max="31" width="15.625" style="24" hidden="1" customWidth="1"/>
    <col min="32" max="32" width="16.625" style="24" hidden="1" customWidth="1"/>
    <col min="33" max="33" width="15.25" style="24" hidden="1" customWidth="1"/>
    <col min="34" max="34" width="16.75" style="24" hidden="1" customWidth="1"/>
    <col min="35" max="35" width="14.875" style="24" hidden="1" customWidth="1"/>
    <col min="36" max="36" width="19.625" style="24" hidden="1" customWidth="1"/>
    <col min="37" max="37" width="20" style="24" hidden="1" customWidth="1"/>
    <col min="38" max="38" width="12.125" style="24" hidden="1" customWidth="1"/>
    <col min="39" max="39" width="17.875" style="24" hidden="1" customWidth="1"/>
    <col min="40" max="40" width="17.375" style="24" hidden="1" customWidth="1"/>
    <col min="41" max="41" width="18.5" style="24" hidden="1" customWidth="1"/>
    <col min="42" max="42" width="18.875" style="24" hidden="1" customWidth="1"/>
    <col min="43" max="43" width="17.625" style="24" hidden="1" customWidth="1"/>
    <col min="44" max="48" width="11.375" style="24" hidden="1" customWidth="1"/>
    <col min="49" max="50" width="9" style="24" hidden="1" customWidth="1"/>
    <col min="51" max="52" width="10.25" style="24" hidden="1" customWidth="1"/>
    <col min="53" max="53" width="11.875" style="24" hidden="1" customWidth="1"/>
    <col min="54" max="54" width="12.375" style="24" hidden="1" customWidth="1"/>
    <col min="55" max="58" width="12.25" style="24" hidden="1" customWidth="1"/>
    <col min="59" max="59" width="15.125" style="24" hidden="1" customWidth="1"/>
    <col min="60" max="65" width="12.25" style="24" hidden="1" customWidth="1"/>
    <col min="66" max="68" width="9" style="24" hidden="1" customWidth="1"/>
    <col min="69" max="69" width="12.625" style="24" hidden="1" customWidth="1"/>
    <col min="70" max="16384" width="9" style="24"/>
  </cols>
  <sheetData>
    <row r="1" spans="1:67" ht="315.75" customHeight="1">
      <c r="B1" s="25"/>
      <c r="C1" s="26"/>
      <c r="D1" s="26"/>
      <c r="E1" s="26"/>
      <c r="F1" s="26"/>
      <c r="G1" s="26"/>
      <c r="I1" s="26"/>
      <c r="J1" s="26"/>
      <c r="K1" s="26"/>
      <c r="L1" s="26"/>
      <c r="M1" s="26"/>
      <c r="O1" s="27"/>
      <c r="AP1" s="28"/>
      <c r="AQ1" s="29"/>
    </row>
    <row r="2" spans="1:67" ht="29.25" customHeight="1">
      <c r="B2" s="30"/>
      <c r="E2" s="31"/>
      <c r="F2" s="32"/>
      <c r="I2" s="25"/>
      <c r="J2" s="25"/>
      <c r="K2" s="33"/>
      <c r="L2" s="33"/>
      <c r="M2" s="33"/>
      <c r="N2" s="25"/>
      <c r="O2" s="25"/>
      <c r="P2" s="25"/>
      <c r="Q2" s="25"/>
      <c r="AP2" s="28"/>
      <c r="AQ2" s="29"/>
    </row>
    <row r="3" spans="1:67" ht="29.25" customHeight="1">
      <c r="B3" s="25"/>
      <c r="C3" s="25"/>
      <c r="D3" s="25"/>
      <c r="E3" s="25"/>
      <c r="I3" s="25"/>
      <c r="J3" s="25"/>
      <c r="N3" s="25"/>
      <c r="O3" s="25"/>
      <c r="P3" s="25"/>
      <c r="Q3" s="25"/>
      <c r="AP3" s="28"/>
      <c r="AQ3" s="29"/>
    </row>
    <row r="4" spans="1:67" ht="29.25" customHeight="1">
      <c r="B4" s="25"/>
      <c r="C4" s="25"/>
      <c r="D4" s="25"/>
      <c r="E4" s="25"/>
      <c r="I4" s="25"/>
      <c r="J4" s="25"/>
      <c r="N4" s="25"/>
      <c r="O4" s="25"/>
      <c r="P4" s="25"/>
      <c r="Q4" s="25"/>
      <c r="S4" s="34"/>
      <c r="T4" s="34"/>
      <c r="AK4" s="384" t="s">
        <v>123</v>
      </c>
      <c r="AL4" s="346"/>
      <c r="AM4" s="347"/>
    </row>
    <row r="5" spans="1:67" ht="29.25" customHeight="1">
      <c r="B5" s="25"/>
      <c r="C5" s="25"/>
      <c r="D5" s="25"/>
      <c r="E5" s="25"/>
      <c r="N5" s="25"/>
      <c r="O5" s="25"/>
      <c r="P5" s="25"/>
      <c r="Q5" s="25"/>
      <c r="S5" s="34"/>
      <c r="T5" s="34"/>
      <c r="AC5" s="344" t="s">
        <v>51</v>
      </c>
      <c r="AD5" s="345"/>
      <c r="AE5" s="346" t="s">
        <v>97</v>
      </c>
      <c r="AF5" s="347"/>
      <c r="AH5" s="35" t="s">
        <v>116</v>
      </c>
      <c r="AI5" s="36" t="s">
        <v>120</v>
      </c>
      <c r="AJ5" s="36" t="s">
        <v>140</v>
      </c>
      <c r="AK5" s="36" t="s">
        <v>124</v>
      </c>
      <c r="AL5" s="36" t="s">
        <v>125</v>
      </c>
      <c r="AM5" s="37" t="s">
        <v>126</v>
      </c>
      <c r="AP5" s="35" t="s">
        <v>152</v>
      </c>
      <c r="AQ5" s="36" t="s">
        <v>149</v>
      </c>
      <c r="AZ5" s="38"/>
    </row>
    <row r="6" spans="1:67" ht="29.25" customHeight="1">
      <c r="E6" s="25"/>
      <c r="Q6" s="25"/>
      <c r="AC6" s="356">
        <f>VALUE(S13&amp;T13&amp;U13&amp;V13&amp;W13&amp;X13&amp;Y13)</f>
        <v>45748</v>
      </c>
      <c r="AD6" s="357"/>
      <c r="AE6" s="348" t="str">
        <f>DBCS(V13&amp;W13&amp;X13&amp;Y13)&amp;"～３月３１日"</f>
        <v>４月１日～３月３１日</v>
      </c>
      <c r="AF6" s="349"/>
      <c r="AH6" s="269">
        <v>46113</v>
      </c>
      <c r="AI6" s="39" t="s">
        <v>154</v>
      </c>
      <c r="AJ6" s="39">
        <f>COUNTIF($M$13:$M$19,"○")</f>
        <v>0</v>
      </c>
      <c r="AK6" s="40">
        <f>IF(AND(AJ7&gt;=1,$AI$6="非該当"),IF(AJ7-AQ6&gt;=1,($BB$17)*(AJ7-AQ6)+($BB$17-$BD$17)*(AQ6),($BB$17-$BD$17)*(AJ7)),0)</f>
        <v>0</v>
      </c>
      <c r="AL6" s="40">
        <f>IF(AND(AJ7&gt;=1,$AI$6="非該当"),IF(AJ7-AQ6&gt;=1,($BB$18)*(AJ7-AQ6)+($BB$18-$BD$18)*(AQ6),($BB$18-$BD$18)*(AJ7)),0)</f>
        <v>0</v>
      </c>
      <c r="AM6" s="41" t="str">
        <f>FIXED(AK6+AL6,0)</f>
        <v>0</v>
      </c>
      <c r="AN6" s="24" t="s">
        <v>134</v>
      </c>
      <c r="AP6" s="269">
        <v>43557</v>
      </c>
      <c r="AQ6" s="39">
        <f>COUNTIF(AI10:AI30,"○")</f>
        <v>0</v>
      </c>
    </row>
    <row r="7" spans="1:67" ht="29.25" customHeight="1">
      <c r="S7" s="34"/>
      <c r="T7" s="34"/>
      <c r="U7" s="34"/>
      <c r="AB7" s="42"/>
      <c r="AF7" s="350"/>
      <c r="AH7" s="24" t="s">
        <v>119</v>
      </c>
      <c r="AJ7" s="39">
        <f>AJ6-1</f>
        <v>-1</v>
      </c>
      <c r="AK7" s="40">
        <f>ROUNDUP(AK6*BM11,0)</f>
        <v>0</v>
      </c>
      <c r="AL7" s="40">
        <f>ROUNDUP(AL6*BM11,0)</f>
        <v>0</v>
      </c>
      <c r="AM7" s="41" t="str">
        <f>FIXED(AK7+AL7,0)</f>
        <v>0</v>
      </c>
      <c r="AN7" s="24" t="s">
        <v>135</v>
      </c>
      <c r="AP7" s="24" t="s">
        <v>153</v>
      </c>
    </row>
    <row r="8" spans="1:67" ht="29.25" customHeight="1">
      <c r="S8" s="34"/>
      <c r="U8" s="34"/>
      <c r="AB8" s="43"/>
      <c r="AF8" s="351"/>
      <c r="AQ8" s="44"/>
      <c r="AZ8" s="45"/>
      <c r="BC8" s="28"/>
      <c r="BO8" s="46"/>
    </row>
    <row r="9" spans="1:67" ht="56.25" customHeight="1" thickBot="1">
      <c r="AC9" s="47" t="s">
        <v>26</v>
      </c>
      <c r="AD9" s="48" t="s">
        <v>27</v>
      </c>
      <c r="AE9" s="49"/>
      <c r="AF9" s="50" t="s">
        <v>99</v>
      </c>
      <c r="AG9" s="51" t="s">
        <v>100</v>
      </c>
      <c r="AH9" s="52" t="s">
        <v>151</v>
      </c>
      <c r="AI9" s="53" t="s">
        <v>155</v>
      </c>
      <c r="AJ9" s="54" t="s">
        <v>128</v>
      </c>
      <c r="AK9" s="54" t="s">
        <v>131</v>
      </c>
      <c r="AL9" s="55" t="s">
        <v>3</v>
      </c>
      <c r="AM9" s="54" t="s">
        <v>132</v>
      </c>
      <c r="AN9" s="54" t="s">
        <v>133</v>
      </c>
      <c r="AO9" s="54" t="s">
        <v>138</v>
      </c>
      <c r="AP9" s="54" t="s">
        <v>139</v>
      </c>
      <c r="AQ9" s="56" t="s">
        <v>127</v>
      </c>
      <c r="AR9" s="57"/>
      <c r="AS9" s="58" t="s">
        <v>37</v>
      </c>
      <c r="AT9" s="59" t="s">
        <v>109</v>
      </c>
      <c r="AU9" s="60" t="s">
        <v>110</v>
      </c>
      <c r="AV9" s="61" t="s">
        <v>111</v>
      </c>
      <c r="AW9" s="58" t="s">
        <v>156</v>
      </c>
      <c r="AX9" s="58" t="s">
        <v>112</v>
      </c>
      <c r="AZ9" s="24" t="s">
        <v>38</v>
      </c>
      <c r="BB9" s="62"/>
      <c r="BC9" s="62"/>
      <c r="BE9" s="24" t="s">
        <v>39</v>
      </c>
      <c r="BG9" s="63"/>
      <c r="BH9" s="63"/>
    </row>
    <row r="10" spans="1:67" ht="33" customHeight="1" thickBot="1">
      <c r="A10" s="33"/>
      <c r="B10" s="26"/>
      <c r="C10" s="26"/>
      <c r="D10" s="26"/>
      <c r="E10" s="26"/>
      <c r="F10" s="26"/>
      <c r="G10" s="26"/>
      <c r="I10" s="26"/>
      <c r="J10" s="26"/>
      <c r="K10" s="26"/>
      <c r="L10" s="26"/>
      <c r="M10" s="26"/>
      <c r="T10" s="64"/>
      <c r="AC10" s="299">
        <v>1</v>
      </c>
      <c r="AD10" s="352" t="str">
        <f>B13&amp;C13&amp;"年"&amp;D13&amp;"月"&amp;E13&amp;"日"</f>
        <v>年月日</v>
      </c>
      <c r="AE10" s="352"/>
      <c r="AF10" s="358" t="e">
        <f>DATEDIF(AD10,$AC$6,"y")</f>
        <v>#VALUE!</v>
      </c>
      <c r="AG10" s="298" t="str">
        <f>IF(C13&gt;0,VALUE(AF10),"")</f>
        <v/>
      </c>
      <c r="AH10" s="298" t="str">
        <f>IF(COUNTA(B13:E13)=4,DATEDIF(AD10,$AH$6,"y"),"")</f>
        <v/>
      </c>
      <c r="AI10" s="278" t="str">
        <f>IF(ISERROR(AF10),"",IF(DATEVALUE(AD10)&gt;=$AP$6,"○",""))</f>
        <v/>
      </c>
      <c r="AJ10" s="341">
        <f>IF(F13="該当",AF37*0.3,AF37)</f>
        <v>0</v>
      </c>
      <c r="AK10" s="341">
        <f>IF(F13="該当",AJ10-AP38-AP45,AF36)</f>
        <v>0</v>
      </c>
      <c r="AL10" s="341">
        <f>AG54</f>
        <v>0</v>
      </c>
      <c r="AM10" s="341">
        <f>AK10+AL10+J13</f>
        <v>0</v>
      </c>
      <c r="AN10" s="341">
        <f>AF36+AL10+J13</f>
        <v>0</v>
      </c>
      <c r="AO10" s="341">
        <f>IF(AM10-430000&gt;0,AM10-430000,0)</f>
        <v>0</v>
      </c>
      <c r="AP10" s="341">
        <f>IF(AN10-430000&gt;0,AN10-430000,0)</f>
        <v>0</v>
      </c>
      <c r="AQ10" s="341">
        <f>AF37+J13</f>
        <v>0</v>
      </c>
      <c r="AR10" s="65" t="s">
        <v>14</v>
      </c>
      <c r="AS10" s="66">
        <f>ROUNDDOWN(IF($AM$10&gt;430000,($AM$10-430000)*$BA$17,0),0)</f>
        <v>0</v>
      </c>
      <c r="AT10" s="381">
        <f>AS10+AS11+AS12</f>
        <v>0</v>
      </c>
      <c r="AU10" s="67">
        <f>ROUNDDOWN(IF(AN10&gt;430000,(AN10-430000)*BA17,"0"),0)</f>
        <v>0</v>
      </c>
      <c r="AV10" s="378">
        <f>AU10+AU11+AU12</f>
        <v>0</v>
      </c>
      <c r="AW10" s="66">
        <f>IF(AG10&lt;&gt;"",IF(AI10="○",$BB$17-$BD$17,$BB$17),0)</f>
        <v>0</v>
      </c>
      <c r="AX10" s="375">
        <f>AW10+AW11+AW12</f>
        <v>0</v>
      </c>
      <c r="AZ10" s="68" t="s">
        <v>22</v>
      </c>
      <c r="BA10" s="69">
        <f>COUNTA($C$13:$C$19)</f>
        <v>0</v>
      </c>
      <c r="BB10" s="70" t="s">
        <v>122</v>
      </c>
      <c r="BC10" s="70" t="s">
        <v>136</v>
      </c>
      <c r="BE10" s="71" t="s">
        <v>22</v>
      </c>
      <c r="BF10" s="72" t="str">
        <f>IF(COUNTIF($F$13:$F$19,"該当")&gt;0,COUNTA($C$13:$C$19),"")</f>
        <v/>
      </c>
      <c r="BG10" s="73" t="s">
        <v>122</v>
      </c>
      <c r="BH10" s="73" t="s">
        <v>136</v>
      </c>
      <c r="BJ10" s="74" t="s">
        <v>47</v>
      </c>
      <c r="BK10" s="75" t="s">
        <v>48</v>
      </c>
      <c r="BL10" s="76" t="s">
        <v>50</v>
      </c>
      <c r="BM10" s="77" t="s">
        <v>49</v>
      </c>
    </row>
    <row r="11" spans="1:67" ht="42.75" customHeight="1" thickBot="1">
      <c r="A11" s="78"/>
      <c r="B11" s="79"/>
      <c r="C11" s="79"/>
      <c r="D11" s="79"/>
      <c r="E11" s="79"/>
      <c r="F11" s="79"/>
      <c r="G11" s="79"/>
      <c r="I11" s="79"/>
      <c r="J11" s="79"/>
      <c r="K11" s="79"/>
      <c r="L11" s="79"/>
      <c r="M11" s="79"/>
      <c r="N11" s="79"/>
      <c r="O11" s="79"/>
      <c r="P11" s="79"/>
      <c r="Q11" s="79"/>
      <c r="R11" s="33"/>
      <c r="AC11" s="299"/>
      <c r="AD11" s="352"/>
      <c r="AE11" s="352"/>
      <c r="AF11" s="358"/>
      <c r="AG11" s="298"/>
      <c r="AH11" s="298"/>
      <c r="AI11" s="279"/>
      <c r="AJ11" s="342"/>
      <c r="AK11" s="342"/>
      <c r="AL11" s="342"/>
      <c r="AM11" s="342"/>
      <c r="AN11" s="342"/>
      <c r="AO11" s="342"/>
      <c r="AP11" s="342"/>
      <c r="AQ11" s="342"/>
      <c r="AR11" s="65" t="s">
        <v>15</v>
      </c>
      <c r="AS11" s="66">
        <f>IF(AM10&gt;430000,(AM10-430000)*$BA$18,0)</f>
        <v>0</v>
      </c>
      <c r="AT11" s="382"/>
      <c r="AU11" s="67" t="str">
        <f>IF(AN10&gt;430000,(AN10-430000)*BA18,"0")</f>
        <v>0</v>
      </c>
      <c r="AV11" s="379"/>
      <c r="AW11" s="66">
        <f>IF(AG10&lt;&gt;"",IF(AI10="○",$BB$18-$BD$18,$BB$18),0)</f>
        <v>0</v>
      </c>
      <c r="AX11" s="376"/>
      <c r="AZ11" s="80" t="s">
        <v>23</v>
      </c>
      <c r="BA11" s="81" t="str">
        <f>IF(COUNTA($C$13:$C$19)&gt;0,IF($BA$23&gt;$BG$16,$BG$16,$BA$23),"0")</f>
        <v>0</v>
      </c>
      <c r="BB11" s="82">
        <f>(IF(BA11-$AK$6&gt;0,ROUNDDOWN(BA11-$AK$6,-2),0))</f>
        <v>0</v>
      </c>
      <c r="BC11" s="83">
        <f>ROUNDDOWN(BA11*$BM$11-AK7,-2)</f>
        <v>0</v>
      </c>
      <c r="BE11" s="84" t="s">
        <v>23</v>
      </c>
      <c r="BF11" s="85" t="str">
        <f>IF(COUNTIF($F$13:$F$19,"該当")&gt;0,IF($BA$28&gt;$BG$16,$BG$16,$BA$28),"")</f>
        <v/>
      </c>
      <c r="BG11" s="86" t="e">
        <f>IF(BF11-$AK$6&gt;0,ROUNDDOWN(BF11-$AK$6,-2),0)</f>
        <v>#VALUE!</v>
      </c>
      <c r="BH11" s="87" t="e">
        <f>ROUNDDOWN(BF11*$BM$11-$AK$7,-2)</f>
        <v>#VALUE!</v>
      </c>
      <c r="BJ11" s="83">
        <v>1</v>
      </c>
      <c r="BK11" s="88">
        <v>0.25</v>
      </c>
      <c r="BL11" s="73" t="s">
        <v>54</v>
      </c>
      <c r="BM11" s="89">
        <f>VLOOKUP(V13,BJ10:BK22,2)</f>
        <v>1</v>
      </c>
    </row>
    <row r="12" spans="1:67" ht="56.25" customHeight="1" thickBot="1">
      <c r="A12" s="90"/>
      <c r="B12" s="304" t="s">
        <v>67</v>
      </c>
      <c r="C12" s="305"/>
      <c r="D12" s="305"/>
      <c r="E12" s="301"/>
      <c r="F12" s="91" t="s">
        <v>68</v>
      </c>
      <c r="G12" s="92" t="s">
        <v>69</v>
      </c>
      <c r="H12" s="93" t="s">
        <v>157</v>
      </c>
      <c r="I12" s="94" t="s">
        <v>159</v>
      </c>
      <c r="J12" s="300" t="s">
        <v>98</v>
      </c>
      <c r="K12" s="301"/>
      <c r="L12" s="91" t="s">
        <v>115</v>
      </c>
      <c r="M12" s="95" t="s">
        <v>118</v>
      </c>
      <c r="N12" s="96" t="s">
        <v>0</v>
      </c>
      <c r="O12" s="97" t="s">
        <v>1</v>
      </c>
      <c r="P12" s="98" t="s">
        <v>2</v>
      </c>
      <c r="Q12" s="96" t="s">
        <v>21</v>
      </c>
      <c r="R12" s="99"/>
      <c r="S12" s="286" t="s">
        <v>70</v>
      </c>
      <c r="T12" s="287"/>
      <c r="U12" s="287"/>
      <c r="V12" s="287"/>
      <c r="W12" s="287"/>
      <c r="X12" s="287"/>
      <c r="Y12" s="287"/>
      <c r="Z12" s="288"/>
      <c r="AC12" s="299"/>
      <c r="AD12" s="352"/>
      <c r="AE12" s="352"/>
      <c r="AF12" s="358"/>
      <c r="AG12" s="298"/>
      <c r="AH12" s="100" t="str">
        <f>IF(COUNTA(B13:E13)&lt;4,"",IF(VALUE(AD10)&gt;$AC$6,"○",""))</f>
        <v/>
      </c>
      <c r="AI12" s="101"/>
      <c r="AJ12" s="343"/>
      <c r="AK12" s="343"/>
      <c r="AL12" s="343"/>
      <c r="AM12" s="343"/>
      <c r="AN12" s="343"/>
      <c r="AO12" s="343"/>
      <c r="AP12" s="343"/>
      <c r="AQ12" s="343"/>
      <c r="AR12" s="65" t="s">
        <v>16</v>
      </c>
      <c r="AS12" s="66">
        <f>IF(AND(AG10&gt;39,AG10&lt;65,$AM$10&gt;430000),($AM$10-430000)*$BA$19,0)</f>
        <v>0</v>
      </c>
      <c r="AT12" s="383"/>
      <c r="AU12" s="67">
        <f>IF(AND(AG10&gt;39,AG10&lt;65,$AN$10&gt;430000),($AN$10-430000)*$BA$19,0)</f>
        <v>0</v>
      </c>
      <c r="AV12" s="380"/>
      <c r="AW12" s="66">
        <f>IF(AND(AG10&gt;39,AG10&lt;65,C13&gt;0),$BB$19,0)</f>
        <v>0</v>
      </c>
      <c r="AX12" s="376"/>
      <c r="AZ12" s="102" t="s">
        <v>24</v>
      </c>
      <c r="BA12" s="103" t="str">
        <f>IF(COUNTA($C$13:$C$19)&gt;0,IF($BA$24&gt;$BG$17,$BG$17,$BA$24),"0")</f>
        <v>0</v>
      </c>
      <c r="BB12" s="86">
        <f>(IF(BA12-$AL$6&gt;0,ROUNDDOWN(BA12-$AL$6,-2),0))</f>
        <v>0</v>
      </c>
      <c r="BC12" s="87">
        <f>ROUNDDOWN(BA12*$BM$11-AL7,-2)</f>
        <v>0</v>
      </c>
      <c r="BE12" s="104" t="s">
        <v>24</v>
      </c>
      <c r="BF12" s="105" t="str">
        <f>IF(COUNTIF($F$13:$F$19,"該当")&gt;0,IF($BA$29&gt;$BG$17,$BG$17,$BA$29),"")</f>
        <v/>
      </c>
      <c r="BG12" s="86" t="e">
        <f>IF(BF12-$AL$6&gt;0,ROUNDDOWN(BF12-$AL$6,-2),0)</f>
        <v>#VALUE!</v>
      </c>
      <c r="BH12" s="87" t="e">
        <f>ROUNDDOWN(BF12*$BM$11-$AL$7,-2)</f>
        <v>#VALUE!</v>
      </c>
      <c r="BJ12" s="87">
        <v>2</v>
      </c>
      <c r="BK12" s="106">
        <v>0.16666666666666699</v>
      </c>
      <c r="BL12" s="87" t="s">
        <v>55</v>
      </c>
    </row>
    <row r="13" spans="1:67" ht="39" customHeight="1" thickBot="1">
      <c r="A13" s="107">
        <v>1</v>
      </c>
      <c r="B13" s="108"/>
      <c r="C13" s="109"/>
      <c r="D13" s="109"/>
      <c r="E13" s="110"/>
      <c r="F13" s="111"/>
      <c r="G13" s="112"/>
      <c r="H13" s="113"/>
      <c r="I13" s="114"/>
      <c r="J13" s="302"/>
      <c r="K13" s="303"/>
      <c r="L13" s="115" t="str">
        <f>IF(C13&gt;0,AM10,"")</f>
        <v/>
      </c>
      <c r="M13" s="116" t="str">
        <f>IF(AH12="○","加入日に未出生の方は含められません",IF(AH10&lt;=18,"○",""))</f>
        <v/>
      </c>
      <c r="N13" s="115" t="str">
        <f>IF(C13&gt;0,AT10,"")</f>
        <v/>
      </c>
      <c r="O13" s="117" t="str">
        <f t="shared" ref="O13:O19" si="0">IF(C13&gt;0,IF(Q13="該当",SUM($BB$17:$BB$19),SUM($BB$17:$BB$18)),"")</f>
        <v/>
      </c>
      <c r="P13" s="289" t="str">
        <f>IF(C13&gt;0,IF(COUNTIF(Q13:Q19,"該当")&gt;0,SUM(BC17:BC19),SUM(BC17:BC18)),"")</f>
        <v/>
      </c>
      <c r="Q13" s="118" t="str">
        <f>IF(C13&gt;0,IF(AND(AG10&gt;39,AG10&lt;65),"該当",""),"")</f>
        <v/>
      </c>
      <c r="S13" s="119" t="s">
        <v>90</v>
      </c>
      <c r="T13" s="120">
        <v>7</v>
      </c>
      <c r="U13" s="121" t="s">
        <v>87</v>
      </c>
      <c r="V13" s="122">
        <v>4</v>
      </c>
      <c r="W13" s="123" t="s">
        <v>88</v>
      </c>
      <c r="X13" s="122">
        <v>1</v>
      </c>
      <c r="Y13" s="124" t="s">
        <v>89</v>
      </c>
      <c r="Z13" s="89" t="s">
        <v>66</v>
      </c>
      <c r="AB13" s="43"/>
      <c r="AC13" s="299">
        <v>2</v>
      </c>
      <c r="AD13" s="352" t="str">
        <f>B14&amp;C14&amp;"年"&amp;D14&amp;"月"&amp;E14&amp;"日"</f>
        <v>年月日</v>
      </c>
      <c r="AE13" s="352"/>
      <c r="AF13" s="358" t="e">
        <f>DATEDIF(AD13,$AC$6,"y")</f>
        <v>#VALUE!</v>
      </c>
      <c r="AG13" s="298" t="str">
        <f>IF(C14&gt;0,VALUE(AF13),"")</f>
        <v/>
      </c>
      <c r="AH13" s="298" t="str">
        <f>IF(COUNTA(B14:E14)=4,DATEDIF(AD13,$AH$6,"y"),"")</f>
        <v/>
      </c>
      <c r="AI13" s="278" t="str">
        <f>IF(ISERROR(AF13),"",IF(DATEVALUE(AD13)&gt;=$AP$6,"○",""))</f>
        <v/>
      </c>
      <c r="AJ13" s="341">
        <f>IF(F14="該当",AG37*0.3,AG37)</f>
        <v>0</v>
      </c>
      <c r="AK13" s="341">
        <f>IF(F14="該当",AJ13-AQ38-AQ45,AG36)</f>
        <v>0</v>
      </c>
      <c r="AL13" s="353">
        <f>AG55</f>
        <v>0</v>
      </c>
      <c r="AM13" s="341">
        <f>AK13+AL13+J14</f>
        <v>0</v>
      </c>
      <c r="AN13" s="341">
        <f>AG36+AL13+J14</f>
        <v>0</v>
      </c>
      <c r="AO13" s="341">
        <f>IF(AM13-430000&gt;0,AM13-430000,0)</f>
        <v>0</v>
      </c>
      <c r="AP13" s="341">
        <f>IF(AN13-430000&gt;0,AN13-430000,0)</f>
        <v>0</v>
      </c>
      <c r="AQ13" s="341">
        <f>AG37+J14</f>
        <v>0</v>
      </c>
      <c r="AR13" s="65" t="s">
        <v>14</v>
      </c>
      <c r="AS13" s="66">
        <f>ROUNDDOWN(IF($AM$13&gt;430000,($AM$13-430000)*$BA$17,0),0)</f>
        <v>0</v>
      </c>
      <c r="AT13" s="381">
        <f>AS13+AS14+AS15</f>
        <v>0</v>
      </c>
      <c r="AU13" s="67">
        <f>ROUNDDOWN(IF(AN13&gt;430000,(AN13-430000)*BA17,"0"),0)</f>
        <v>0</v>
      </c>
      <c r="AV13" s="378">
        <f>AU13+AU14+AU15</f>
        <v>0</v>
      </c>
      <c r="AW13" s="66">
        <f>IF(AG13&lt;&gt;"",IF(AI13="○",$BB$17-$BD$17,$BB$17),0)</f>
        <v>0</v>
      </c>
      <c r="AX13" s="375">
        <f>AW13+AW14+AW15</f>
        <v>0</v>
      </c>
      <c r="AZ13" s="125" t="s">
        <v>25</v>
      </c>
      <c r="BA13" s="126" t="str">
        <f>IF(COUNTA($C$13:$C$19)&gt;0,IF($BA$25&gt;$BG$18,$BG$18,$BA$25),"0")</f>
        <v>0</v>
      </c>
      <c r="BB13" s="127">
        <f>ROUNDDOWN(BA13,-2)</f>
        <v>0</v>
      </c>
      <c r="BC13" s="128">
        <f>ROUNDDOWN(BA13*$BM$11,-2)</f>
        <v>0</v>
      </c>
      <c r="BE13" s="129" t="s">
        <v>25</v>
      </c>
      <c r="BF13" s="130" t="str">
        <f>IF(COUNTIF($F$13:$F$19,"該当")&gt;0,IF($BA$30&gt;$BG$18,$BG$18,$BA$30),"")</f>
        <v/>
      </c>
      <c r="BG13" s="127" t="e">
        <f>IF(BF13-$AK$7&gt;0,ROUNDDOWN(BF13-$AK$7,-2),0)</f>
        <v>#VALUE!</v>
      </c>
      <c r="BH13" s="128" t="e">
        <f>ROUNDDOWN(BF13*$BM$11,-2)</f>
        <v>#VALUE!</v>
      </c>
      <c r="BJ13" s="87">
        <v>3</v>
      </c>
      <c r="BK13" s="106">
        <v>8.3333333333333329E-2</v>
      </c>
      <c r="BL13" s="87" t="s">
        <v>56</v>
      </c>
      <c r="BM13" s="77" t="s">
        <v>71</v>
      </c>
    </row>
    <row r="14" spans="1:67" ht="39" customHeight="1">
      <c r="A14" s="107">
        <v>2</v>
      </c>
      <c r="B14" s="131"/>
      <c r="C14" s="132"/>
      <c r="D14" s="132"/>
      <c r="E14" s="133"/>
      <c r="F14" s="134"/>
      <c r="G14" s="135"/>
      <c r="H14" s="136"/>
      <c r="I14" s="137"/>
      <c r="J14" s="280"/>
      <c r="K14" s="281"/>
      <c r="L14" s="138" t="str">
        <f>IF(C14&gt;0,AM13,"")</f>
        <v/>
      </c>
      <c r="M14" s="139" t="str">
        <f>IF(AH15="○","加入日に未出生の方は含められません",IF(AH13&lt;=18,"○",""))</f>
        <v/>
      </c>
      <c r="N14" s="138" t="str">
        <f>IF(C14&gt;0,AT13,"")</f>
        <v/>
      </c>
      <c r="O14" s="140" t="str">
        <f t="shared" si="0"/>
        <v/>
      </c>
      <c r="P14" s="290"/>
      <c r="Q14" s="141" t="str">
        <f>IF(C14&gt;0,IF(AND(AG13&gt;39,AG13&lt;65),"該当",""),"")</f>
        <v/>
      </c>
      <c r="T14" s="142"/>
      <c r="AB14" s="43"/>
      <c r="AC14" s="299"/>
      <c r="AD14" s="352"/>
      <c r="AE14" s="352"/>
      <c r="AF14" s="358"/>
      <c r="AG14" s="298"/>
      <c r="AH14" s="298"/>
      <c r="AI14" s="279"/>
      <c r="AJ14" s="342"/>
      <c r="AK14" s="342"/>
      <c r="AL14" s="354"/>
      <c r="AM14" s="342"/>
      <c r="AN14" s="342"/>
      <c r="AO14" s="342"/>
      <c r="AP14" s="342"/>
      <c r="AQ14" s="342"/>
      <c r="AR14" s="65" t="s">
        <v>15</v>
      </c>
      <c r="AS14" s="66">
        <f>IF($AM$13&gt;430000,ROUNDDOWN(($AM$13-430000)*$BA$18,0),0)</f>
        <v>0</v>
      </c>
      <c r="AT14" s="382"/>
      <c r="AU14" s="67" t="str">
        <f>IF(AN13&gt;430000,(AN13-430000)*BA18,"0")</f>
        <v>0</v>
      </c>
      <c r="AV14" s="379"/>
      <c r="AW14" s="66">
        <f>IF(AG13&lt;&gt;"",IF(AI13="○",$BB$18-$BD$18,$BB$18),0)</f>
        <v>0</v>
      </c>
      <c r="AX14" s="376"/>
      <c r="AZ14" s="43" t="s">
        <v>42</v>
      </c>
      <c r="BA14" s="143">
        <f>SUM(BA11:BA13)</f>
        <v>0</v>
      </c>
      <c r="BB14" s="143">
        <f>SUM(BB11:BB13)</f>
        <v>0</v>
      </c>
      <c r="BC14" s="143">
        <f>SUM(BC11:BC13)</f>
        <v>0</v>
      </c>
      <c r="BE14" s="43" t="s">
        <v>42</v>
      </c>
      <c r="BF14" s="143">
        <f>SUM(BF11:BF13)</f>
        <v>0</v>
      </c>
      <c r="BG14" s="143" t="e">
        <f>SUM(BG11:BG13)</f>
        <v>#VALUE!</v>
      </c>
      <c r="BH14" s="143" t="e">
        <f>SUM(BH11:BH13)</f>
        <v>#VALUE!</v>
      </c>
      <c r="BJ14" s="87">
        <v>4</v>
      </c>
      <c r="BK14" s="144">
        <v>1</v>
      </c>
      <c r="BL14" s="87" t="s">
        <v>57</v>
      </c>
      <c r="BM14" s="24" t="str">
        <f>IF(C13&gt;0,VLOOKUP(V13,BJ10:BL22,3),"")</f>
        <v/>
      </c>
    </row>
    <row r="15" spans="1:67" ht="39" customHeight="1" thickBot="1">
      <c r="A15" s="107">
        <v>3</v>
      </c>
      <c r="B15" s="131"/>
      <c r="C15" s="132"/>
      <c r="D15" s="132"/>
      <c r="E15" s="133"/>
      <c r="F15" s="134"/>
      <c r="G15" s="135"/>
      <c r="H15" s="136"/>
      <c r="I15" s="137"/>
      <c r="J15" s="280"/>
      <c r="K15" s="281"/>
      <c r="L15" s="138" t="str">
        <f>IF(C15&gt;0,AM16,"")</f>
        <v/>
      </c>
      <c r="M15" s="139" t="str">
        <f>IF(AH18="○","加入日に未出生の方は含められません",IF(AH16&lt;=18,"○",""))</f>
        <v/>
      </c>
      <c r="N15" s="138" t="str">
        <f>IF(C15&gt;0,AT16,"")</f>
        <v/>
      </c>
      <c r="O15" s="140" t="str">
        <f t="shared" si="0"/>
        <v/>
      </c>
      <c r="P15" s="290"/>
      <c r="Q15" s="141" t="str">
        <f>IF(C15&gt;0,IF(AND(AG16&gt;39,AG16&lt;65),"該当",""),"")</f>
        <v/>
      </c>
      <c r="T15" s="142"/>
      <c r="AB15" s="43"/>
      <c r="AC15" s="299"/>
      <c r="AD15" s="352"/>
      <c r="AE15" s="352"/>
      <c r="AF15" s="358"/>
      <c r="AG15" s="298"/>
      <c r="AH15" s="100" t="str">
        <f>IF(COUNTA(B14:E14)&lt;4,"",IF(VALUE(AD13)&gt;$AC$6,"○",""))</f>
        <v/>
      </c>
      <c r="AI15" s="101"/>
      <c r="AJ15" s="343"/>
      <c r="AK15" s="343"/>
      <c r="AL15" s="355"/>
      <c r="AM15" s="343"/>
      <c r="AN15" s="343"/>
      <c r="AO15" s="343"/>
      <c r="AP15" s="343"/>
      <c r="AQ15" s="343"/>
      <c r="AR15" s="65" t="s">
        <v>16</v>
      </c>
      <c r="AS15" s="66">
        <f>IF(AND(AG13&gt;39,AG13&lt;65,$AM$13&gt;430000),($AM$13-430000)*$BA$19,0)</f>
        <v>0</v>
      </c>
      <c r="AT15" s="383"/>
      <c r="AU15" s="67">
        <f>IF(AND(AG13&gt;39,AG13&lt;65,$AN$13&gt;430000),($AN$13-430000)*$BA$19,0)</f>
        <v>0</v>
      </c>
      <c r="AV15" s="380"/>
      <c r="AW15" s="66">
        <f>IF(AND(AG13&gt;39,AG13&lt;65,C14&gt;0),$BB$19,0)</f>
        <v>0</v>
      </c>
      <c r="AX15" s="376"/>
      <c r="AZ15" s="29"/>
      <c r="BB15" s="145" t="str">
        <f>IF(AND(COUNTA(B13:E13)=4,ISNUMBER(BB14)),"減免額表示","入力不備")</f>
        <v>入力不備</v>
      </c>
      <c r="BJ15" s="87">
        <v>5</v>
      </c>
      <c r="BK15" s="106">
        <v>0.91666666666666696</v>
      </c>
      <c r="BL15" s="87" t="s">
        <v>58</v>
      </c>
      <c r="BM15" s="24" t="s">
        <v>144</v>
      </c>
    </row>
    <row r="16" spans="1:67" ht="39" customHeight="1">
      <c r="A16" s="107">
        <v>4</v>
      </c>
      <c r="B16" s="131"/>
      <c r="C16" s="132"/>
      <c r="D16" s="132"/>
      <c r="E16" s="133"/>
      <c r="F16" s="134"/>
      <c r="G16" s="135"/>
      <c r="H16" s="136"/>
      <c r="I16" s="137"/>
      <c r="J16" s="280"/>
      <c r="K16" s="281"/>
      <c r="L16" s="138" t="str">
        <f>IF(C16&gt;0,AM19,"")</f>
        <v/>
      </c>
      <c r="M16" s="139" t="str">
        <f>IF(AH21="○","加入日に未出生の方は含められません",IF(AH19&lt;=18,"○",""))</f>
        <v/>
      </c>
      <c r="N16" s="138" t="str">
        <f>IF(C16&gt;0,AT19,"")</f>
        <v/>
      </c>
      <c r="O16" s="140" t="str">
        <f t="shared" si="0"/>
        <v/>
      </c>
      <c r="P16" s="290"/>
      <c r="Q16" s="141" t="str">
        <f>IF(C16&gt;0,IF(AND(AG19&gt;39,AG19&lt;65),"該当",""),"")</f>
        <v/>
      </c>
      <c r="T16" s="142"/>
      <c r="AB16" s="43"/>
      <c r="AC16" s="299">
        <v>3</v>
      </c>
      <c r="AD16" s="352" t="str">
        <f>B15&amp;C15&amp;"年"&amp;D15&amp;"月"&amp;E15&amp;"日"</f>
        <v>年月日</v>
      </c>
      <c r="AE16" s="352"/>
      <c r="AF16" s="358" t="e">
        <f>DATEDIF(AD16,$AC$6,"y")</f>
        <v>#VALUE!</v>
      </c>
      <c r="AG16" s="298" t="str">
        <f>IF(C15&gt;0,VALUE(AF16),"")</f>
        <v/>
      </c>
      <c r="AH16" s="298" t="str">
        <f>IF(COUNTA(B15:E15)=4,DATEDIF(AD16,$AH$6,"y"),"")</f>
        <v/>
      </c>
      <c r="AI16" s="278" t="str">
        <f>IF(ISERROR(AF16),"",IF(DATEVALUE(AD16)&gt;=$AP$6,"○",""))</f>
        <v/>
      </c>
      <c r="AJ16" s="341">
        <f>IF(F15="該当",AH37*0.3,AH37)</f>
        <v>0</v>
      </c>
      <c r="AK16" s="341">
        <f>IF(F15="該当",AJ16-AR38-AR45,AH36)</f>
        <v>0</v>
      </c>
      <c r="AL16" s="353">
        <f>AG56</f>
        <v>0</v>
      </c>
      <c r="AM16" s="341">
        <f>AK16+AL16+J15</f>
        <v>0</v>
      </c>
      <c r="AN16" s="341">
        <f>AH36+AL16+J15</f>
        <v>0</v>
      </c>
      <c r="AO16" s="341">
        <f>IF(AM16-430000&gt;0,AM16-430000,0)</f>
        <v>0</v>
      </c>
      <c r="AP16" s="341">
        <f>IF(AN16-430000&gt;0,AN16-430000,0)</f>
        <v>0</v>
      </c>
      <c r="AQ16" s="341">
        <f>AH37+J15</f>
        <v>0</v>
      </c>
      <c r="AR16" s="65" t="s">
        <v>14</v>
      </c>
      <c r="AS16" s="66">
        <f>ROUNDDOWN(IF($AM$16&gt;430000,($AM$16-430000)*$BA$17,0),0)</f>
        <v>0</v>
      </c>
      <c r="AT16" s="66">
        <f>AS16+AS17+AS18</f>
        <v>0</v>
      </c>
      <c r="AU16" s="67">
        <f>ROUNDDOWN(IF($AN$16&gt;430000,($AN$16-430000)*BA17,"0"),0)</f>
        <v>0</v>
      </c>
      <c r="AV16" s="378">
        <f>AU16+AU17+AU18</f>
        <v>0</v>
      </c>
      <c r="AW16" s="66">
        <f>IF(AG16&lt;&gt;"",IF(AI16="○",$BB$17-$BD$17,$BB$17),0)</f>
        <v>0</v>
      </c>
      <c r="AX16" s="375">
        <f>AW16+AW17+AW18</f>
        <v>0</v>
      </c>
      <c r="AZ16" s="146" t="s">
        <v>7</v>
      </c>
      <c r="BA16" s="147" t="s">
        <v>8</v>
      </c>
      <c r="BB16" s="148" t="s">
        <v>9</v>
      </c>
      <c r="BC16" s="149" t="s">
        <v>10</v>
      </c>
      <c r="BD16" s="150" t="s">
        <v>148</v>
      </c>
      <c r="BF16" s="151" t="s">
        <v>28</v>
      </c>
      <c r="BG16" s="152">
        <v>650000</v>
      </c>
      <c r="BH16" s="153"/>
      <c r="BJ16" s="87">
        <v>6</v>
      </c>
      <c r="BK16" s="106">
        <v>0.83333333333333337</v>
      </c>
      <c r="BL16" s="87" t="s">
        <v>59</v>
      </c>
      <c r="BM16" s="24" t="str">
        <f>IF(AND($BM$23="試算額表示",COUNTIF($F$13:$F$19,"該当")&gt;0),"約"&amp;FIXED($BH$14/$BM$11/12,0,FALSE)&amp;"円","")</f>
        <v/>
      </c>
    </row>
    <row r="17" spans="1:68" ht="39" customHeight="1">
      <c r="A17" s="107">
        <v>5</v>
      </c>
      <c r="B17" s="131"/>
      <c r="C17" s="132"/>
      <c r="D17" s="132"/>
      <c r="E17" s="133"/>
      <c r="F17" s="134"/>
      <c r="G17" s="135"/>
      <c r="H17" s="136"/>
      <c r="I17" s="137"/>
      <c r="J17" s="280"/>
      <c r="K17" s="281"/>
      <c r="L17" s="138" t="str">
        <f>IF(C17&gt;0,AM22,"")</f>
        <v/>
      </c>
      <c r="M17" s="139" t="str">
        <f>IF(AH24="○","加入日に未出生の方は含められません",IF(AH22&lt;=18,"○",""))</f>
        <v/>
      </c>
      <c r="N17" s="138" t="str">
        <f>IF(C17&gt;0,AT22,"")</f>
        <v/>
      </c>
      <c r="O17" s="140" t="str">
        <f t="shared" si="0"/>
        <v/>
      </c>
      <c r="P17" s="290"/>
      <c r="Q17" s="141" t="str">
        <f>IF(C17&gt;0,IF(AND(AG22&gt;39,AG22&lt;65),"該当",""),"")</f>
        <v/>
      </c>
      <c r="T17" s="142"/>
      <c r="AB17" s="43"/>
      <c r="AC17" s="299"/>
      <c r="AD17" s="352"/>
      <c r="AE17" s="352"/>
      <c r="AF17" s="358"/>
      <c r="AG17" s="298"/>
      <c r="AH17" s="298"/>
      <c r="AI17" s="279"/>
      <c r="AJ17" s="342"/>
      <c r="AK17" s="342"/>
      <c r="AL17" s="354"/>
      <c r="AM17" s="342"/>
      <c r="AN17" s="342"/>
      <c r="AO17" s="342"/>
      <c r="AP17" s="342"/>
      <c r="AQ17" s="342"/>
      <c r="AR17" s="65" t="s">
        <v>15</v>
      </c>
      <c r="AS17" s="66">
        <f>IF($AM$16&gt;430000,($AM$16-430000)*$BA$18,0)</f>
        <v>0</v>
      </c>
      <c r="AT17" s="154"/>
      <c r="AU17" s="67" t="str">
        <f>IF($AN$16&gt;430000,($AN$16-430000)*BA18,"0")</f>
        <v>0</v>
      </c>
      <c r="AV17" s="379"/>
      <c r="AW17" s="66">
        <f>IF(AG16&lt;&gt;"",IF(AI16="○",$BB$18-$BD$18,$BB$18),0)</f>
        <v>0</v>
      </c>
      <c r="AX17" s="376"/>
      <c r="AZ17" s="155" t="s">
        <v>11</v>
      </c>
      <c r="BA17" s="156">
        <v>6.5000000000000002E-2</v>
      </c>
      <c r="BB17" s="157">
        <v>20700</v>
      </c>
      <c r="BC17" s="158">
        <v>18300</v>
      </c>
      <c r="BD17" s="159">
        <f>BB17*0.5</f>
        <v>10350</v>
      </c>
      <c r="BF17" s="160" t="s">
        <v>29</v>
      </c>
      <c r="BG17" s="161">
        <v>240000</v>
      </c>
      <c r="BH17" s="153"/>
      <c r="BJ17" s="87">
        <v>7</v>
      </c>
      <c r="BK17" s="106">
        <v>0.75</v>
      </c>
      <c r="BL17" s="87" t="s">
        <v>60</v>
      </c>
      <c r="BM17" s="24" t="s">
        <v>143</v>
      </c>
    </row>
    <row r="18" spans="1:68" ht="39" customHeight="1" thickBot="1">
      <c r="A18" s="107">
        <v>6</v>
      </c>
      <c r="B18" s="131"/>
      <c r="C18" s="132"/>
      <c r="D18" s="132"/>
      <c r="E18" s="133"/>
      <c r="F18" s="134"/>
      <c r="G18" s="135"/>
      <c r="H18" s="136"/>
      <c r="I18" s="137"/>
      <c r="J18" s="280"/>
      <c r="K18" s="281"/>
      <c r="L18" s="138" t="str">
        <f>IF(C18&gt;0,AM25,"")</f>
        <v/>
      </c>
      <c r="M18" s="139" t="str">
        <f>IF(AH27="○","加入日に未出生の方は含められません",IF(AH25&lt;=18,"○",""))</f>
        <v/>
      </c>
      <c r="N18" s="138" t="str">
        <f>IF(C18&gt;0,AT25,"")</f>
        <v/>
      </c>
      <c r="O18" s="140" t="str">
        <f t="shared" si="0"/>
        <v/>
      </c>
      <c r="P18" s="290"/>
      <c r="Q18" s="141" t="str">
        <f>IF(C18&gt;0,IF(AND(AG25&gt;39,AG25&lt;65),"該当",""),"")</f>
        <v/>
      </c>
      <c r="R18" s="142"/>
      <c r="S18" s="142"/>
      <c r="T18" s="142"/>
      <c r="AB18" s="43"/>
      <c r="AC18" s="299"/>
      <c r="AD18" s="352"/>
      <c r="AE18" s="352"/>
      <c r="AF18" s="358"/>
      <c r="AG18" s="298"/>
      <c r="AH18" s="100" t="str">
        <f>IF(COUNTA(B15:E15)&lt;4,"",IF(VALUE(AD16)&gt;$AC$6,"○",""))</f>
        <v/>
      </c>
      <c r="AI18" s="101"/>
      <c r="AJ18" s="343"/>
      <c r="AK18" s="343"/>
      <c r="AL18" s="355"/>
      <c r="AM18" s="343"/>
      <c r="AN18" s="343"/>
      <c r="AO18" s="343"/>
      <c r="AP18" s="343"/>
      <c r="AQ18" s="343"/>
      <c r="AR18" s="65" t="s">
        <v>16</v>
      </c>
      <c r="AS18" s="66">
        <f>IF(AND(AG16&gt;39,AG16&lt;65,$AM$16&gt;430000),($AM$16-430000)*$BA$19,0)</f>
        <v>0</v>
      </c>
      <c r="AT18" s="162"/>
      <c r="AU18" s="67">
        <f>IF(AND(AG16&gt;39,AG16&lt;65,$AN$16&gt;430000),($AN$16-430000)*$BA$19,0)</f>
        <v>0</v>
      </c>
      <c r="AV18" s="380"/>
      <c r="AW18" s="66">
        <f>IF(AND(AG16&gt;39,AG16&lt;65,C15&gt;0),$BB$19,0)</f>
        <v>0</v>
      </c>
      <c r="AX18" s="376"/>
      <c r="AZ18" s="163" t="s">
        <v>12</v>
      </c>
      <c r="BA18" s="164">
        <v>2.5000000000000001E-2</v>
      </c>
      <c r="BB18" s="165">
        <v>7800</v>
      </c>
      <c r="BC18" s="166">
        <v>7200</v>
      </c>
      <c r="BD18" s="167">
        <f>BB18*0.5</f>
        <v>3900</v>
      </c>
      <c r="BF18" s="168" t="s">
        <v>30</v>
      </c>
      <c r="BG18" s="169">
        <v>170000</v>
      </c>
      <c r="BH18" s="153"/>
      <c r="BJ18" s="87">
        <v>8</v>
      </c>
      <c r="BK18" s="106">
        <v>0.66666666666666663</v>
      </c>
      <c r="BL18" s="87" t="s">
        <v>61</v>
      </c>
      <c r="BM18" s="24" t="str">
        <f>IF(AND($BM$23="試算額表示",COUNTIF($F$13:$F$19,"該当")&gt;0),IF($E$13&gt;0,"約"&amp;FIXED($BH$14,0,FALSE)&amp;"円",""),"")</f>
        <v/>
      </c>
      <c r="BN18" s="170" t="s">
        <v>137</v>
      </c>
      <c r="BO18" s="24" t="str">
        <f>IF($BM$23="試算額表示",ROUNDDOWN(BA14*BM11,-2),"")</f>
        <v/>
      </c>
    </row>
    <row r="19" spans="1:68" ht="39" customHeight="1" thickBot="1">
      <c r="A19" s="107">
        <v>7</v>
      </c>
      <c r="B19" s="171"/>
      <c r="C19" s="172"/>
      <c r="D19" s="172"/>
      <c r="E19" s="173"/>
      <c r="F19" s="174"/>
      <c r="G19" s="175"/>
      <c r="H19" s="176"/>
      <c r="I19" s="177"/>
      <c r="J19" s="282"/>
      <c r="K19" s="283"/>
      <c r="L19" s="178" t="str">
        <f>IF(C19&gt;0,AM28,"")</f>
        <v/>
      </c>
      <c r="M19" s="179" t="str">
        <f>IF(AH30="○","加入日に未出生の方は含められません",IF(AH28&lt;=18,"○",""))</f>
        <v/>
      </c>
      <c r="N19" s="178" t="str">
        <f>IF(C19&gt;0,AT28,"")</f>
        <v/>
      </c>
      <c r="O19" s="180" t="str">
        <f t="shared" si="0"/>
        <v/>
      </c>
      <c r="P19" s="291"/>
      <c r="Q19" s="181" t="str">
        <f>IF(C19&gt;0,IF(AND(AG28&gt;39,AG28&lt;65),"該当",""),"")</f>
        <v/>
      </c>
      <c r="AB19" s="43"/>
      <c r="AC19" s="299">
        <v>4</v>
      </c>
      <c r="AD19" s="352" t="str">
        <f>B16&amp;C16&amp;"年"&amp;D16&amp;"月"&amp;E16&amp;"日"</f>
        <v>年月日</v>
      </c>
      <c r="AE19" s="352"/>
      <c r="AF19" s="353" t="e">
        <f>DATEDIF(AD19,$AC$6,"y")</f>
        <v>#VALUE!</v>
      </c>
      <c r="AG19" s="278" t="str">
        <f>IF(C16&gt;0,VALUE(AF19),"")</f>
        <v/>
      </c>
      <c r="AH19" s="298" t="str">
        <f>IF(COUNTA(B16:E16)=4,DATEDIF(AD19,$AH$6,"y"),"")</f>
        <v/>
      </c>
      <c r="AI19" s="278" t="str">
        <f>IF(ISERROR(AF19),"",IF(DATEVALUE(AD19)&gt;=$AP$6,"○",""))</f>
        <v/>
      </c>
      <c r="AJ19" s="341">
        <f>IF(F16="該当",AI37*0.3,AI37)</f>
        <v>0</v>
      </c>
      <c r="AK19" s="341">
        <f>IF(F16="該当",AJ19-AS38-AS45,AI36)</f>
        <v>0</v>
      </c>
      <c r="AL19" s="353">
        <f>AG57</f>
        <v>0</v>
      </c>
      <c r="AM19" s="341">
        <f>AK19+AL19+J16</f>
        <v>0</v>
      </c>
      <c r="AN19" s="341">
        <f>AI36+AL19+J16</f>
        <v>0</v>
      </c>
      <c r="AO19" s="341">
        <f>IF(AM19-430000&gt;0,AM19-430000,0)</f>
        <v>0</v>
      </c>
      <c r="AP19" s="341">
        <f>IF(AN19-430000&gt;0,AN19-430000,0)</f>
        <v>0</v>
      </c>
      <c r="AQ19" s="341">
        <f>AI37+J16</f>
        <v>0</v>
      </c>
      <c r="AR19" s="65" t="s">
        <v>14</v>
      </c>
      <c r="AS19" s="66">
        <f>ROUNDDOWN(IF($AM$19&gt;430000,($AM$19-430000)*$BA$17,0),0)</f>
        <v>0</v>
      </c>
      <c r="AT19" s="381">
        <f>AS19+AS20+AS21</f>
        <v>0</v>
      </c>
      <c r="AU19" s="67">
        <f>ROUNDDOWN(IF($AN$19&gt;430000,($AN$19-430000)*$BA$17,"0"),0)</f>
        <v>0</v>
      </c>
      <c r="AV19" s="378">
        <f>AU19+AU20+AU21</f>
        <v>0</v>
      </c>
      <c r="AW19" s="66">
        <f>IF(AG19&lt;&gt;"",IF(AI19="○",$BB$17-$BD$17,$BB$17),0)</f>
        <v>0</v>
      </c>
      <c r="AX19" s="375">
        <f>AW19+AW20+AW21</f>
        <v>0</v>
      </c>
      <c r="AZ19" s="182" t="s">
        <v>13</v>
      </c>
      <c r="BA19" s="183">
        <v>2.4E-2</v>
      </c>
      <c r="BB19" s="184">
        <v>10000</v>
      </c>
      <c r="BC19" s="185">
        <v>6200</v>
      </c>
      <c r="BD19" s="186">
        <f>BB19*0.5</f>
        <v>5000</v>
      </c>
      <c r="BJ19" s="87">
        <v>9</v>
      </c>
      <c r="BK19" s="106">
        <v>0.58333333333333337</v>
      </c>
      <c r="BL19" s="87" t="s">
        <v>62</v>
      </c>
      <c r="BM19" s="24" t="s">
        <v>142</v>
      </c>
      <c r="BO19" s="187" t="s">
        <v>145</v>
      </c>
    </row>
    <row r="20" spans="1:68" ht="23.25" customHeight="1">
      <c r="A20" s="64"/>
      <c r="B20" s="188"/>
      <c r="AC20" s="299"/>
      <c r="AD20" s="352"/>
      <c r="AE20" s="352"/>
      <c r="AF20" s="354"/>
      <c r="AG20" s="279"/>
      <c r="AH20" s="298"/>
      <c r="AI20" s="279"/>
      <c r="AJ20" s="342"/>
      <c r="AK20" s="342"/>
      <c r="AL20" s="354"/>
      <c r="AM20" s="342"/>
      <c r="AN20" s="342"/>
      <c r="AO20" s="342"/>
      <c r="AP20" s="342"/>
      <c r="AQ20" s="342"/>
      <c r="AR20" s="65" t="s">
        <v>15</v>
      </c>
      <c r="AS20" s="66">
        <f>IF($AM$19&gt;430000,($AM$19-430000)*$BA$18,0)</f>
        <v>0</v>
      </c>
      <c r="AT20" s="382"/>
      <c r="AU20" s="67" t="str">
        <f>IF($AN$19&gt;430000,($AN$19-430000)*$BA$18,"0")</f>
        <v>0</v>
      </c>
      <c r="AV20" s="379"/>
      <c r="AW20" s="66">
        <f>IF(AG19&lt;&gt;"",IF(AI19="○",$BB$18-$BD$18,$BB$18),0)</f>
        <v>0</v>
      </c>
      <c r="AX20" s="376"/>
      <c r="AZ20" s="28"/>
      <c r="BA20" s="29"/>
      <c r="BB20" s="29"/>
      <c r="BJ20" s="87">
        <v>10</v>
      </c>
      <c r="BK20" s="106">
        <v>0.5</v>
      </c>
      <c r="BL20" s="87" t="s">
        <v>63</v>
      </c>
      <c r="BM20" s="24" t="e">
        <f>IF(AND($BM$23="試算額表示",$BO$22/$BM$11&gt;0),"約"&amp;FIXED($BO$22/$BM$11/12,0,FALSE)&amp;"円","")</f>
        <v>#VALUE!</v>
      </c>
      <c r="BO20" s="187" t="s">
        <v>145</v>
      </c>
    </row>
    <row r="21" spans="1:68" ht="23.25" customHeight="1">
      <c r="A21" s="64"/>
      <c r="B21" s="188"/>
      <c r="AC21" s="299"/>
      <c r="AD21" s="352"/>
      <c r="AE21" s="352"/>
      <c r="AF21" s="355"/>
      <c r="AG21" s="364"/>
      <c r="AH21" s="100" t="str">
        <f>IF(COUNTA(B16:E16)&lt;4,"",IF(VALUE(AD19)&gt;$AC$6,"○",""))</f>
        <v/>
      </c>
      <c r="AI21" s="101"/>
      <c r="AJ21" s="343"/>
      <c r="AK21" s="343"/>
      <c r="AL21" s="355"/>
      <c r="AM21" s="343"/>
      <c r="AN21" s="343"/>
      <c r="AO21" s="343"/>
      <c r="AP21" s="343"/>
      <c r="AQ21" s="343"/>
      <c r="AR21" s="65" t="s">
        <v>16</v>
      </c>
      <c r="AS21" s="66">
        <f>IF(AND(AG19&gt;39,AG19&lt;65,$AM$19&gt;430000),($AM$19-430000)*$BA$19,0)</f>
        <v>0</v>
      </c>
      <c r="AT21" s="383"/>
      <c r="AU21" s="67">
        <f>IF(AND(AG19&gt;39,AG19&lt;65,$AN$19&gt;430000),($AN$19-430000)*$BA$19,0)</f>
        <v>0</v>
      </c>
      <c r="AV21" s="380"/>
      <c r="AW21" s="66">
        <f>IF(AND(AG19&gt;39,AG19&lt;65,C16&gt;0),$BB$19,0)</f>
        <v>0</v>
      </c>
      <c r="AX21" s="376"/>
      <c r="AZ21" s="188" t="s">
        <v>36</v>
      </c>
      <c r="BJ21" s="87">
        <v>11</v>
      </c>
      <c r="BK21" s="106">
        <v>0.41666666666666669</v>
      </c>
      <c r="BL21" s="87" t="s">
        <v>64</v>
      </c>
      <c r="BM21" s="24" t="s">
        <v>141</v>
      </c>
      <c r="BO21" s="187" t="s">
        <v>145</v>
      </c>
    </row>
    <row r="22" spans="1:68" ht="23.25" customHeight="1" thickBot="1">
      <c r="A22" s="64"/>
      <c r="B22" s="188"/>
      <c r="AC22" s="299">
        <v>5</v>
      </c>
      <c r="AD22" s="352" t="str">
        <f>B17&amp;C17&amp;"年"&amp;D17&amp;"月"&amp;E17&amp;"日"</f>
        <v>年月日</v>
      </c>
      <c r="AE22" s="352"/>
      <c r="AF22" s="353" t="e">
        <f>DATEDIF(AD22,$AC$6,"y")</f>
        <v>#VALUE!</v>
      </c>
      <c r="AG22" s="278" t="str">
        <f>IF(C17&gt;0,VALUE(AF22),"")</f>
        <v/>
      </c>
      <c r="AH22" s="298" t="str">
        <f>IF(COUNTA(B17:E17)=4,DATEDIF(AD22,$AH$6,"y"),"")</f>
        <v/>
      </c>
      <c r="AI22" s="278" t="str">
        <f>IF(ISERROR(AF22),"",IF(DATEVALUE(AD22)&gt;=$AP$6,"○",""))</f>
        <v/>
      </c>
      <c r="AJ22" s="341">
        <f>IF(F17="該当",AJ37*0.3,AJ37)</f>
        <v>0</v>
      </c>
      <c r="AK22" s="341">
        <f>IF(F17="該当",AJ22-AT38-AT45,AJ36)</f>
        <v>0</v>
      </c>
      <c r="AL22" s="353">
        <f>AG58</f>
        <v>0</v>
      </c>
      <c r="AM22" s="341">
        <f>AK22+AL22+J17</f>
        <v>0</v>
      </c>
      <c r="AN22" s="341">
        <f>AJ36+AL22+J17</f>
        <v>0</v>
      </c>
      <c r="AO22" s="341">
        <f>IF(AM22-430000&gt;0,AM22-430000,0)</f>
        <v>0</v>
      </c>
      <c r="AP22" s="341">
        <f>IF(AN22-430000&gt;0,AN22-430000,0)</f>
        <v>0</v>
      </c>
      <c r="AQ22" s="341">
        <f>AJ37+J17</f>
        <v>0</v>
      </c>
      <c r="AR22" s="65" t="s">
        <v>14</v>
      </c>
      <c r="AS22" s="66">
        <f>ROUNDDOWN(IF($AM$22&gt;430000,($AM$22-430000)*$BA$17,0),0)</f>
        <v>0</v>
      </c>
      <c r="AT22" s="381">
        <f>AS22+AS23+AS24</f>
        <v>0</v>
      </c>
      <c r="AU22" s="67">
        <f>ROUNDDOWN(IF($AN$22&gt;430000,($AN$22-430000)*$BA$17,"0"),0)</f>
        <v>0</v>
      </c>
      <c r="AV22" s="378">
        <f>AU22+AU23+AU24</f>
        <v>0</v>
      </c>
      <c r="AW22" s="66">
        <f>IF(AG22&lt;&gt;"",IF(AI22="○",$BB$17-$BD$17,$BB$17),0)</f>
        <v>0</v>
      </c>
      <c r="AX22" s="375">
        <f>AW22+AW23+AW24</f>
        <v>0</v>
      </c>
      <c r="AZ22" s="189"/>
      <c r="BA22" s="190" t="s">
        <v>121</v>
      </c>
      <c r="BB22" s="191"/>
      <c r="BC22" s="45"/>
      <c r="BJ22" s="128">
        <v>12</v>
      </c>
      <c r="BK22" s="192">
        <v>0.33333333333333331</v>
      </c>
      <c r="BL22" s="128" t="s">
        <v>65</v>
      </c>
      <c r="BM22" s="24" t="str">
        <f>IF($BM$23="試算額表示","約"&amp;FIXED($BO$22,0,FALSE)&amp;"円","")</f>
        <v/>
      </c>
      <c r="BN22" s="24" t="s">
        <v>146</v>
      </c>
      <c r="BO22" s="24" t="str">
        <f>IF(AND(COUNTIF($F$13:$F$19,"該当")&gt;0,SUM($AP$10:$AP$30)&gt;6000000),$BO$18,IF($BM$23="試算額表示",$BC$14,""))</f>
        <v/>
      </c>
    </row>
    <row r="23" spans="1:68" ht="18.75" customHeight="1" thickBot="1">
      <c r="A23" s="64"/>
      <c r="B23" s="193"/>
      <c r="AC23" s="299"/>
      <c r="AD23" s="352"/>
      <c r="AE23" s="352"/>
      <c r="AF23" s="354"/>
      <c r="AG23" s="279"/>
      <c r="AH23" s="298"/>
      <c r="AI23" s="279"/>
      <c r="AJ23" s="342"/>
      <c r="AK23" s="342"/>
      <c r="AL23" s="354"/>
      <c r="AM23" s="342"/>
      <c r="AN23" s="342"/>
      <c r="AO23" s="342"/>
      <c r="AP23" s="342"/>
      <c r="AQ23" s="342"/>
      <c r="AR23" s="65" t="s">
        <v>15</v>
      </c>
      <c r="AS23" s="66">
        <f>IF($AM$22&gt;430000,($AM$22-430000)*$BA$18,0)</f>
        <v>0</v>
      </c>
      <c r="AT23" s="382"/>
      <c r="AU23" s="67" t="str">
        <f>IF($AN$22&gt;430000,($AN$22-430000)*$BA$18,"0")</f>
        <v>0</v>
      </c>
      <c r="AV23" s="379"/>
      <c r="AW23" s="66">
        <f>IF(AG22&lt;&gt;"",IF(AI22="○",$BB$18-$BD$18,$BB$18),0)</f>
        <v>0</v>
      </c>
      <c r="AX23" s="376"/>
      <c r="AZ23" s="190" t="s">
        <v>17</v>
      </c>
      <c r="BA23" s="194">
        <f>AU10+AW10+AU13+AW13+AU16+AW16+AU19+AW19+AU22+AW22+AU25+AW25+AU28+AW28+BC17</f>
        <v>18300</v>
      </c>
      <c r="BB23" s="195"/>
      <c r="BC23" s="45"/>
      <c r="BM23" s="24" t="str">
        <f>IF(AND(COUNTA(B13:E13)=4,ISNUMBER(BB14)),"試算額表示","入力不備")</f>
        <v>入力不備</v>
      </c>
    </row>
    <row r="24" spans="1:68" ht="39" customHeight="1" thickBot="1">
      <c r="A24" s="64"/>
      <c r="B24" s="326" t="s">
        <v>41</v>
      </c>
      <c r="C24" s="327"/>
      <c r="D24" s="327"/>
      <c r="E24" s="328"/>
      <c r="F24" s="329" t="s">
        <v>40</v>
      </c>
      <c r="G24" s="330"/>
      <c r="H24" s="331" t="s">
        <v>83</v>
      </c>
      <c r="I24" s="332"/>
      <c r="J24" s="196"/>
      <c r="K24" s="284" t="s">
        <v>117</v>
      </c>
      <c r="L24" s="285"/>
      <c r="M24" s="197"/>
      <c r="N24" s="198"/>
      <c r="O24" s="198"/>
      <c r="AC24" s="299"/>
      <c r="AD24" s="352"/>
      <c r="AE24" s="352"/>
      <c r="AF24" s="355"/>
      <c r="AG24" s="364"/>
      <c r="AH24" s="100" t="str">
        <f>IF(COUNTA(B17:E17)&lt;4,"",IF(VALUE(AD22)&gt;$AC$6,"○",""))</f>
        <v/>
      </c>
      <c r="AI24" s="101"/>
      <c r="AJ24" s="343"/>
      <c r="AK24" s="343"/>
      <c r="AL24" s="355"/>
      <c r="AM24" s="343"/>
      <c r="AN24" s="343"/>
      <c r="AO24" s="343"/>
      <c r="AP24" s="343"/>
      <c r="AQ24" s="343"/>
      <c r="AR24" s="65" t="s">
        <v>16</v>
      </c>
      <c r="AS24" s="66">
        <f>IF(AND(AG22&gt;39,AG22&lt;65,$AM$22&gt;430000),($AM$22-430000)*$BA$19,0)</f>
        <v>0</v>
      </c>
      <c r="AT24" s="383"/>
      <c r="AU24" s="67" t="str">
        <f>IF(AND(AG22&gt;39,AG22&lt;65,$AN$22&gt;430000),($AN$22-430000)*$BA$19,"0")</f>
        <v>0</v>
      </c>
      <c r="AV24" s="380"/>
      <c r="AW24" s="66">
        <f>IF(AND(AG22&gt;39,AG22&lt;65,C17&gt;0),$BB$19,0)</f>
        <v>0</v>
      </c>
      <c r="AX24" s="376"/>
      <c r="AZ24" s="190" t="s">
        <v>18</v>
      </c>
      <c r="BA24" s="194">
        <f>AU11+AW11+AU14+AW14+AU17+AW17+AU20+AW20+AU23+AW23+AU26+AW26+AU29+AW29+BC18</f>
        <v>7200</v>
      </c>
      <c r="BB24" s="195"/>
      <c r="BC24" s="45"/>
    </row>
    <row r="25" spans="1:68" ht="37.5" customHeight="1">
      <c r="A25" s="28"/>
      <c r="B25" s="306" t="str">
        <f>IF(X13&gt;0,AE6,"")</f>
        <v>４月１日～３月３１日</v>
      </c>
      <c r="C25" s="307"/>
      <c r="D25" s="307"/>
      <c r="E25" s="308"/>
      <c r="F25" s="318" t="str">
        <f>IF(AND(G13&lt;=8500000,H13="有"),"④給与収入850万円以下の場合、※⑤所得金額調整控除を「無」にしてください",IF(ISERROR(BM22),"①、②を入力すると",BM22))</f>
        <v/>
      </c>
      <c r="G25" s="319"/>
      <c r="H25" s="333" t="str">
        <f>IF(AND(G13&lt;=8500000,H13="有"),"",IF(ISERROR(BM22),"計算結果が表示されます",BM18))</f>
        <v/>
      </c>
      <c r="I25" s="334"/>
      <c r="J25" s="199"/>
      <c r="K25" s="292" t="str">
        <f>IF(AND($BB$15="減免額表示",AJ6&gt;1),IF($AI$6="非該当","約"&amp;$AM$7&amp;"円","上位所得世帯に該当します"),"１８歳以下の子どもが２人以上いる場合、２人　
　目以降の均等割額分の減免額が表示されます")</f>
        <v>１８歳以下の子どもが２人以上いる場合、２人　
　目以降の均等割額分の減免額が表示されます</v>
      </c>
      <c r="L25" s="293"/>
      <c r="M25" s="64"/>
      <c r="AC25" s="299">
        <v>6</v>
      </c>
      <c r="AD25" s="352" t="str">
        <f>B18&amp;C18&amp;"年"&amp;D18&amp;"月"&amp;E18&amp;"日"</f>
        <v>年月日</v>
      </c>
      <c r="AE25" s="352"/>
      <c r="AF25" s="353" t="e">
        <f>DATEDIF(AD25,$AC$6,"y")</f>
        <v>#VALUE!</v>
      </c>
      <c r="AG25" s="278" t="str">
        <f>IF(C18&gt;0,VALUE(AF25),"")</f>
        <v/>
      </c>
      <c r="AH25" s="298" t="str">
        <f>IF(COUNTA(B18:E18)=4,DATEDIF(AD25,$AH$6,"y"),"")</f>
        <v/>
      </c>
      <c r="AI25" s="278" t="str">
        <f>IF(ISERROR(AF25),"",IF(DATEVALUE(AD25)&gt;=$AP$6,"○",""))</f>
        <v/>
      </c>
      <c r="AJ25" s="341">
        <f>IF(F18="該当",AK37*0.3,AK37)</f>
        <v>0</v>
      </c>
      <c r="AK25" s="341">
        <f>IF(F18="該当",AJ25-AU38-AU45,AK36)</f>
        <v>0</v>
      </c>
      <c r="AL25" s="353">
        <f>AG59</f>
        <v>0</v>
      </c>
      <c r="AM25" s="341">
        <f>AK25+AL25+J18</f>
        <v>0</v>
      </c>
      <c r="AN25" s="341">
        <f>AK36+AL25+J18</f>
        <v>0</v>
      </c>
      <c r="AO25" s="341">
        <f>IF(AM25-430000&gt;0,AM25-430000,0)</f>
        <v>0</v>
      </c>
      <c r="AP25" s="341">
        <f>IF(AN25-430000&gt;0,AN25-430000,0)</f>
        <v>0</v>
      </c>
      <c r="AQ25" s="341">
        <f>AK37+J18</f>
        <v>0</v>
      </c>
      <c r="AR25" s="65" t="s">
        <v>14</v>
      </c>
      <c r="AS25" s="66">
        <f>ROUNDDOWN(IF($AM$25&gt;430000,($AM$25-430000)*$BA$17,0),0)</f>
        <v>0</v>
      </c>
      <c r="AT25" s="381">
        <f>AS25+AS26+AS27</f>
        <v>0</v>
      </c>
      <c r="AU25" s="67">
        <f>ROUNDDOWN(IF($AN$25&gt;430000,($AN$25-430000)*$BA$17,"0"),0)</f>
        <v>0</v>
      </c>
      <c r="AV25" s="378">
        <f>AU25+AU26+AU27</f>
        <v>0</v>
      </c>
      <c r="AW25" s="66">
        <f>IF(AG25&lt;&gt;"",IF(AI25="○",$BB$17-$BD$17,$BB$17),0)</f>
        <v>0</v>
      </c>
      <c r="AX25" s="375">
        <f>AW25+AW26+AW27</f>
        <v>0</v>
      </c>
      <c r="AZ25" s="190" t="s">
        <v>19</v>
      </c>
      <c r="BA25" s="194">
        <f>$AU$12+$AW$12+$AU$15+$AW$15+$AU$18+$AW$18+$AU$21+$AW$21+$AU$24+$AW$24+$AU$27+$AW$27+$AU$30+$AW$30+IF(COUNTIF($Q$13:$Q$19,"該当")&gt;0,$BC$19,"0")</f>
        <v>0</v>
      </c>
      <c r="BB25" s="195"/>
      <c r="BC25" s="45"/>
      <c r="BP25" s="24" t="str">
        <f>IF($BM$23="試算額表示","約"&amp;FIXED(ROUNDDOWN(BB14*BM11,-2),0,FALSE)&amp;"円","")</f>
        <v/>
      </c>
    </row>
    <row r="26" spans="1:68" ht="40.5" customHeight="1" thickBot="1">
      <c r="A26" s="28"/>
      <c r="B26" s="309"/>
      <c r="C26" s="310"/>
      <c r="D26" s="310"/>
      <c r="E26" s="311"/>
      <c r="F26" s="320"/>
      <c r="G26" s="321"/>
      <c r="H26" s="335"/>
      <c r="I26" s="336"/>
      <c r="J26" s="199"/>
      <c r="K26" s="294"/>
      <c r="L26" s="295"/>
      <c r="M26" s="64"/>
      <c r="AC26" s="299"/>
      <c r="AD26" s="352"/>
      <c r="AE26" s="352"/>
      <c r="AF26" s="354"/>
      <c r="AG26" s="279"/>
      <c r="AH26" s="298"/>
      <c r="AI26" s="279"/>
      <c r="AJ26" s="342"/>
      <c r="AK26" s="342"/>
      <c r="AL26" s="354"/>
      <c r="AM26" s="342"/>
      <c r="AN26" s="342"/>
      <c r="AO26" s="342"/>
      <c r="AP26" s="342"/>
      <c r="AQ26" s="342"/>
      <c r="AR26" s="65" t="s">
        <v>15</v>
      </c>
      <c r="AS26" s="66">
        <f>IF($AM$25&gt;430000,($AM$25-430000)*$BA$18,0)</f>
        <v>0</v>
      </c>
      <c r="AT26" s="382"/>
      <c r="AU26" s="67" t="str">
        <f>IF($AN$25&gt;430000,($AN$25-430000)*$BA$18,"0")</f>
        <v>0</v>
      </c>
      <c r="AV26" s="379"/>
      <c r="AW26" s="66">
        <f>IF(AG25&lt;&gt;"",IF(AI25="○",$BB$18-$BD$18,$BB$18),0)</f>
        <v>0</v>
      </c>
      <c r="AX26" s="376"/>
      <c r="AZ26" s="200" t="s">
        <v>35</v>
      </c>
      <c r="BB26" s="29"/>
      <c r="BC26" s="45"/>
    </row>
    <row r="27" spans="1:68" ht="36.75" customHeight="1">
      <c r="A27" s="28"/>
      <c r="B27" s="312" t="s">
        <v>53</v>
      </c>
      <c r="C27" s="313"/>
      <c r="D27" s="313"/>
      <c r="E27" s="314"/>
      <c r="F27" s="322" t="str">
        <f>IF(ISERROR(BM20),"",BM20)</f>
        <v/>
      </c>
      <c r="G27" s="323"/>
      <c r="H27" s="337" t="str">
        <f>IF(ISERROR(BM16),"",BM16)</f>
        <v/>
      </c>
      <c r="I27" s="338"/>
      <c r="J27" s="201"/>
      <c r="K27" s="296"/>
      <c r="L27" s="296"/>
      <c r="M27" s="64"/>
      <c r="AC27" s="299"/>
      <c r="AD27" s="352"/>
      <c r="AE27" s="352"/>
      <c r="AF27" s="355"/>
      <c r="AG27" s="364"/>
      <c r="AH27" s="100" t="str">
        <f>IF(COUNTA(B18:E18)&lt;4,"",IF(VALUE(AD25)&gt;$AC$6,"○",""))</f>
        <v/>
      </c>
      <c r="AI27" s="101"/>
      <c r="AJ27" s="343"/>
      <c r="AK27" s="343"/>
      <c r="AL27" s="355"/>
      <c r="AM27" s="343"/>
      <c r="AN27" s="343"/>
      <c r="AO27" s="343"/>
      <c r="AP27" s="343"/>
      <c r="AQ27" s="343"/>
      <c r="AR27" s="65" t="s">
        <v>16</v>
      </c>
      <c r="AS27" s="66">
        <f>IF(AND(AG25&gt;39,AG25&lt;65,$AM$25&gt;430000),($AM$25-430000)*$BA$19,0)</f>
        <v>0</v>
      </c>
      <c r="AT27" s="383"/>
      <c r="AU27" s="67">
        <f>IF(AND(AG25&gt;39,AG25&lt;65,$AN$25&gt;430000),($AN$25-430000)*$BA$19,0)</f>
        <v>0</v>
      </c>
      <c r="AV27" s="380"/>
      <c r="AW27" s="66">
        <f>IF(AND(AG25&gt;39,AG25&lt;65,C18&gt;0),$BB$19,0)</f>
        <v>0</v>
      </c>
      <c r="AX27" s="376"/>
      <c r="AZ27" s="202"/>
      <c r="BA27" s="190" t="s">
        <v>121</v>
      </c>
      <c r="BB27" s="191"/>
      <c r="BC27" s="45"/>
    </row>
    <row r="28" spans="1:68" ht="29.25" customHeight="1" thickBot="1">
      <c r="A28" s="28"/>
      <c r="B28" s="315"/>
      <c r="C28" s="316"/>
      <c r="D28" s="316"/>
      <c r="E28" s="317"/>
      <c r="F28" s="324"/>
      <c r="G28" s="325"/>
      <c r="H28" s="339"/>
      <c r="I28" s="340"/>
      <c r="J28" s="201"/>
      <c r="K28" s="297"/>
      <c r="L28" s="297"/>
      <c r="M28" s="64"/>
      <c r="AC28" s="299">
        <v>7</v>
      </c>
      <c r="AD28" s="352" t="str">
        <f>B19&amp;C19&amp;"年"&amp;D19&amp;"月"&amp;E19&amp;"日"</f>
        <v>年月日</v>
      </c>
      <c r="AE28" s="352"/>
      <c r="AF28" s="353" t="e">
        <f>DATEDIF(AD28,$AC$6,"y")</f>
        <v>#VALUE!</v>
      </c>
      <c r="AG28" s="278" t="str">
        <f>IF(C19&gt;0,VALUE(AF28),"")</f>
        <v/>
      </c>
      <c r="AH28" s="298" t="str">
        <f>IF(COUNTA(B19:E19)=4,DATEDIF(AD28,$AH$6,"y"),"")</f>
        <v/>
      </c>
      <c r="AI28" s="278" t="str">
        <f>IF(ISERROR(AF28),"",IF(DATEVALUE(AD28)&gt;=$AP$6,"○",""))</f>
        <v/>
      </c>
      <c r="AJ28" s="341">
        <f>IF(F19="該当",AL37*0.3,AL37)</f>
        <v>0</v>
      </c>
      <c r="AK28" s="341">
        <f>IF(F19="該当",AJ28-AV38-AV45,AL36)</f>
        <v>0</v>
      </c>
      <c r="AL28" s="353">
        <f>AG60</f>
        <v>0</v>
      </c>
      <c r="AM28" s="341">
        <f>AK28+AL28+J19</f>
        <v>0</v>
      </c>
      <c r="AN28" s="341">
        <f>AL36+AL28+J19</f>
        <v>0</v>
      </c>
      <c r="AO28" s="341">
        <f>IF(AM28-430000&gt;0,AM28-430000,0)</f>
        <v>0</v>
      </c>
      <c r="AP28" s="341">
        <f>IF(AN28-430000&gt;0,AN28-430000,0)</f>
        <v>0</v>
      </c>
      <c r="AQ28" s="341">
        <f>AL37+J19</f>
        <v>0</v>
      </c>
      <c r="AR28" s="65" t="s">
        <v>14</v>
      </c>
      <c r="AS28" s="66">
        <f>ROUNDDOWN(IF($AM$28&gt;430000,($AM$28-430000)*$BA$17,0),0)</f>
        <v>0</v>
      </c>
      <c r="AT28" s="381">
        <f>AS28+AS29+AS30</f>
        <v>0</v>
      </c>
      <c r="AU28" s="67">
        <f>ROUNDDOWN(IF($AN$28&gt;430000,($AN$28-430000)*$BA$17,"0"),0)</f>
        <v>0</v>
      </c>
      <c r="AV28" s="378">
        <f>AU28+AU29+AU30</f>
        <v>0</v>
      </c>
      <c r="AW28" s="66">
        <f>IF(AG28&lt;&gt;"",IF(AI28="○",$BB$17-$BD$17,$BB$17),0)</f>
        <v>0</v>
      </c>
      <c r="AX28" s="375">
        <f>AW28+AW29+AW30</f>
        <v>0</v>
      </c>
      <c r="AZ28" s="190" t="s">
        <v>17</v>
      </c>
      <c r="BA28" s="194">
        <f>AS10+AW10+AS13+AW13+AS16+AW16+AS19+AW19+AS22+AW22+AS25+AW25+AS28+AW28+BC17</f>
        <v>18300</v>
      </c>
      <c r="BB28" s="195"/>
      <c r="BC28" s="45"/>
    </row>
    <row r="29" spans="1:68" ht="20.25" customHeight="1">
      <c r="B29" s="271" t="s">
        <v>160</v>
      </c>
      <c r="C29" s="272"/>
      <c r="D29" s="272"/>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C29" s="299"/>
      <c r="AD29" s="352"/>
      <c r="AE29" s="352"/>
      <c r="AF29" s="354"/>
      <c r="AG29" s="279"/>
      <c r="AH29" s="298"/>
      <c r="AI29" s="279"/>
      <c r="AJ29" s="342"/>
      <c r="AK29" s="342"/>
      <c r="AL29" s="354"/>
      <c r="AM29" s="342"/>
      <c r="AN29" s="342"/>
      <c r="AO29" s="342"/>
      <c r="AP29" s="342"/>
      <c r="AQ29" s="342"/>
      <c r="AR29" s="65" t="s">
        <v>15</v>
      </c>
      <c r="AS29" s="66">
        <f>IF($AM$28&gt;430000,($AM$28-430000)*$BA$18,0)</f>
        <v>0</v>
      </c>
      <c r="AT29" s="382"/>
      <c r="AU29" s="67" t="str">
        <f>IF($AN$28&gt;430000,($AN$28-430000)*$BA$18,"0")</f>
        <v>0</v>
      </c>
      <c r="AV29" s="379"/>
      <c r="AW29" s="66">
        <f>IF(AG28&lt;&gt;"",IF(AI28="○",$BB$18-$BD$18,$BB$18),0)</f>
        <v>0</v>
      </c>
      <c r="AX29" s="376"/>
      <c r="AZ29" s="190" t="s">
        <v>18</v>
      </c>
      <c r="BA29" s="194">
        <f>AS11+AW11+AS14+AW14+AS17+AW17+AS20+AW20+AS23+AW23+AS26+AW26+AS29+AW29+BC18</f>
        <v>7200</v>
      </c>
      <c r="BB29" s="195"/>
      <c r="BC29" s="45"/>
    </row>
    <row r="30" spans="1:68" ht="20.25" customHeight="1">
      <c r="B30" s="273" t="s">
        <v>164</v>
      </c>
      <c r="C30" s="274"/>
      <c r="D30" s="274"/>
      <c r="E30" s="275"/>
      <c r="F30" s="275"/>
      <c r="G30" s="275"/>
      <c r="H30" s="272"/>
      <c r="I30" s="275"/>
      <c r="J30" s="275"/>
      <c r="K30" s="275"/>
      <c r="L30" s="275"/>
      <c r="M30" s="275"/>
      <c r="N30" s="275"/>
      <c r="O30" s="275"/>
      <c r="P30" s="275"/>
      <c r="Q30" s="275"/>
      <c r="R30" s="275"/>
      <c r="S30" s="272"/>
      <c r="T30" s="272"/>
      <c r="U30" s="272"/>
      <c r="V30" s="272"/>
      <c r="W30" s="272"/>
      <c r="X30" s="272"/>
      <c r="Y30" s="272"/>
      <c r="Z30" s="272"/>
      <c r="AA30" s="272"/>
      <c r="AC30" s="299"/>
      <c r="AD30" s="352"/>
      <c r="AE30" s="352"/>
      <c r="AF30" s="355"/>
      <c r="AG30" s="364"/>
      <c r="AH30" s="100" t="str">
        <f>IF(COUNTA(B19:E19)&lt;4,"",IF(VALUE(AD28)&gt;$AC$6,"○",""))</f>
        <v/>
      </c>
      <c r="AI30" s="101"/>
      <c r="AJ30" s="343"/>
      <c r="AK30" s="343"/>
      <c r="AL30" s="355"/>
      <c r="AM30" s="343"/>
      <c r="AN30" s="343"/>
      <c r="AO30" s="343"/>
      <c r="AP30" s="343"/>
      <c r="AQ30" s="343"/>
      <c r="AR30" s="65" t="s">
        <v>16</v>
      </c>
      <c r="AS30" s="66">
        <f>IF(AND(AG28&gt;39,AG28&lt;65,$AM$28&gt;430000),($AM$28-430000)*$BA$19,0)</f>
        <v>0</v>
      </c>
      <c r="AT30" s="383"/>
      <c r="AU30" s="67">
        <f>IF(AND(AG28&gt;39,AG28&lt;65,$AN$28&gt;430000),($AN$28-430000)*$BA$19,0)</f>
        <v>0</v>
      </c>
      <c r="AV30" s="380"/>
      <c r="AW30" s="66">
        <f>IF(AND(AG28&gt;39,AG28&lt;65,C19&gt;0),$BB$19,0)</f>
        <v>0</v>
      </c>
      <c r="AX30" s="376"/>
      <c r="AZ30" s="190" t="s">
        <v>19</v>
      </c>
      <c r="BA30" s="194">
        <f>AS12+AW12+AS15+AW15+AS18+AW18+AS21+AW21+AS24+AW24+AS27+AW27+AS30+AW30+IF(COUNTIF(Q13:Q19,"該当")&gt;0,BC19,"0")</f>
        <v>0</v>
      </c>
      <c r="BB30" s="195"/>
      <c r="BC30" s="45"/>
    </row>
    <row r="31" spans="1:68" ht="15" customHeight="1">
      <c r="B31" s="277" t="s">
        <v>163</v>
      </c>
      <c r="C31" s="277"/>
      <c r="D31" s="277"/>
      <c r="E31" s="277"/>
      <c r="F31" s="277"/>
      <c r="G31" s="277"/>
      <c r="H31" s="277"/>
      <c r="I31" s="277"/>
      <c r="J31" s="277"/>
      <c r="K31" s="277"/>
      <c r="L31" s="277"/>
      <c r="AN31" s="203">
        <f>SUM(AO10:AO30)</f>
        <v>0</v>
      </c>
      <c r="AO31" s="203">
        <f>SUM(AP10:AP30)</f>
        <v>0</v>
      </c>
    </row>
    <row r="32" spans="1:68" ht="33" customHeight="1">
      <c r="B32" s="276" t="s">
        <v>161</v>
      </c>
      <c r="C32" s="276"/>
      <c r="D32" s="276"/>
      <c r="E32" s="276"/>
      <c r="F32" s="276"/>
      <c r="G32" s="276"/>
      <c r="H32" s="276"/>
      <c r="I32" s="276"/>
      <c r="J32" s="276"/>
      <c r="K32" s="276"/>
      <c r="L32" s="276"/>
      <c r="M32" s="276"/>
      <c r="N32" s="276"/>
      <c r="O32" s="276"/>
      <c r="P32" s="276"/>
      <c r="Q32" s="276"/>
      <c r="R32" s="276"/>
      <c r="S32" s="276"/>
      <c r="T32" s="276"/>
      <c r="U32" s="276"/>
      <c r="V32" s="276"/>
      <c r="W32" s="272"/>
      <c r="X32" s="272"/>
      <c r="Y32" s="272"/>
      <c r="Z32" s="272"/>
      <c r="AA32" s="272"/>
    </row>
    <row r="33" spans="2:51" ht="27.75" customHeight="1">
      <c r="B33" s="276" t="s">
        <v>165</v>
      </c>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row>
    <row r="34" spans="2:51" ht="19.5" customHeight="1">
      <c r="B34" s="277" t="s">
        <v>162</v>
      </c>
      <c r="C34" s="277"/>
      <c r="D34" s="277"/>
      <c r="E34" s="277"/>
      <c r="F34" s="277"/>
      <c r="G34" s="277"/>
      <c r="H34" s="277"/>
      <c r="I34" s="277"/>
      <c r="J34" s="277"/>
      <c r="AC34" s="204" t="s">
        <v>108</v>
      </c>
      <c r="AD34" s="205"/>
      <c r="AE34" s="206"/>
      <c r="AF34" s="206"/>
      <c r="AG34" s="206"/>
      <c r="AH34" s="206"/>
      <c r="AI34" s="206"/>
      <c r="AJ34" s="206"/>
      <c r="AK34" s="206"/>
      <c r="AL34" s="206"/>
      <c r="AM34" s="206"/>
      <c r="AN34" s="206"/>
      <c r="AO34" s="206"/>
      <c r="AP34" s="206"/>
      <c r="AQ34" s="206"/>
      <c r="AR34" s="206"/>
      <c r="AS34" s="206"/>
      <c r="AT34" s="206"/>
      <c r="AU34" s="206"/>
      <c r="AV34" s="206"/>
      <c r="AW34" s="207"/>
    </row>
    <row r="35" spans="2:51" ht="30.75" customHeight="1">
      <c r="D35" s="208"/>
      <c r="U35" s="209"/>
      <c r="AC35" s="210"/>
      <c r="AD35" s="211" t="s">
        <v>4</v>
      </c>
      <c r="AE35" s="212"/>
      <c r="AF35" s="213">
        <v>1</v>
      </c>
      <c r="AG35" s="214">
        <v>2</v>
      </c>
      <c r="AH35" s="213">
        <v>3</v>
      </c>
      <c r="AI35" s="214">
        <v>4</v>
      </c>
      <c r="AJ35" s="213">
        <v>5</v>
      </c>
      <c r="AK35" s="214">
        <v>6</v>
      </c>
      <c r="AL35" s="213">
        <v>7</v>
      </c>
      <c r="AM35" s="215"/>
      <c r="AN35" s="215" t="s">
        <v>102</v>
      </c>
      <c r="AO35" s="216"/>
      <c r="AP35" s="216"/>
      <c r="AQ35" s="216"/>
      <c r="AR35" s="216"/>
      <c r="AS35" s="216"/>
      <c r="AT35" s="216"/>
      <c r="AU35" s="216"/>
      <c r="AV35" s="216"/>
      <c r="AW35" s="217"/>
    </row>
    <row r="36" spans="2:51" ht="30.75" customHeight="1">
      <c r="Z36" s="218"/>
      <c r="AC36" s="219"/>
      <c r="AD36" s="361" t="s">
        <v>130</v>
      </c>
      <c r="AE36" s="361"/>
      <c r="AF36" s="220">
        <f>IF(H13="有",AF37-AP38-AP45,AF37-AP45)</f>
        <v>0</v>
      </c>
      <c r="AG36" s="220">
        <f>IF(H14="有",AG37-AQ38-AQ45,AG37-AQ45)</f>
        <v>0</v>
      </c>
      <c r="AH36" s="220">
        <f>IF(H15="有",AH37-AR38-AR45,AH37-AR45)</f>
        <v>0</v>
      </c>
      <c r="AI36" s="220">
        <f>IF(H16="有",AI37-AS38-AS45,AI37-AS45)</f>
        <v>0</v>
      </c>
      <c r="AJ36" s="220">
        <f>IF(H17="有",AJ37-AT38-AT45,AJ37-AT45)</f>
        <v>0</v>
      </c>
      <c r="AK36" s="220">
        <f>IF(H18="有",AK37-AU38-AU45,AK37-AU45)</f>
        <v>0</v>
      </c>
      <c r="AL36" s="220">
        <f>IF(H19="有",AL37-AV38-AV45,AL37-AV45)</f>
        <v>0</v>
      </c>
      <c r="AM36" s="45"/>
      <c r="AN36" s="221" t="s">
        <v>113</v>
      </c>
      <c r="AO36" s="45"/>
      <c r="AP36" s="45"/>
      <c r="AQ36" s="45"/>
      <c r="AR36" s="45"/>
      <c r="AS36" s="45"/>
      <c r="AT36" s="45"/>
      <c r="AU36" s="45"/>
      <c r="AV36" s="45"/>
      <c r="AW36" s="222"/>
    </row>
    <row r="37" spans="2:51" ht="30.75" customHeight="1">
      <c r="Y37" s="209"/>
      <c r="AC37" s="219"/>
      <c r="AD37" s="361" t="s">
        <v>129</v>
      </c>
      <c r="AE37" s="361"/>
      <c r="AF37" s="223">
        <f>VLOOKUP(G13,AD38:AF48,3)</f>
        <v>0</v>
      </c>
      <c r="AG37" s="224">
        <f>VLOOKUP(G14,AD38:AG48,4)</f>
        <v>0</v>
      </c>
      <c r="AH37" s="224">
        <f>VLOOKUP(G15,AD38:AH48,5)</f>
        <v>0</v>
      </c>
      <c r="AI37" s="224">
        <f>VLOOKUP(G16,AD38:AI48,6)</f>
        <v>0</v>
      </c>
      <c r="AJ37" s="224">
        <f>VLOOKUP(G17,AD38:AJ48,7)</f>
        <v>0</v>
      </c>
      <c r="AK37" s="224">
        <f>VLOOKUP(G18,AD38:AK48,8)</f>
        <v>0</v>
      </c>
      <c r="AL37" s="224">
        <f>VLOOKUP(G19,AD38:AL48,9)</f>
        <v>0</v>
      </c>
      <c r="AM37" s="225"/>
      <c r="AN37" s="367" t="s">
        <v>158</v>
      </c>
      <c r="AO37" s="368"/>
      <c r="AP37" s="226">
        <v>1</v>
      </c>
      <c r="AQ37" s="226">
        <v>2</v>
      </c>
      <c r="AR37" s="226">
        <v>3</v>
      </c>
      <c r="AS37" s="226">
        <v>4</v>
      </c>
      <c r="AT37" s="226">
        <v>5</v>
      </c>
      <c r="AU37" s="226">
        <v>6</v>
      </c>
      <c r="AV37" s="226">
        <v>7</v>
      </c>
      <c r="AW37" s="227"/>
      <c r="AX37" s="218"/>
    </row>
    <row r="38" spans="2:51" ht="30.75" customHeight="1">
      <c r="Z38" s="228"/>
      <c r="AC38" s="219"/>
      <c r="AD38" s="229">
        <v>0</v>
      </c>
      <c r="AE38" s="229">
        <v>550999</v>
      </c>
      <c r="AF38" s="220">
        <v>0</v>
      </c>
      <c r="AG38" s="220">
        <v>0</v>
      </c>
      <c r="AH38" s="220">
        <v>0</v>
      </c>
      <c r="AI38" s="220">
        <v>0</v>
      </c>
      <c r="AJ38" s="220">
        <v>0</v>
      </c>
      <c r="AK38" s="220">
        <v>0</v>
      </c>
      <c r="AL38" s="220">
        <v>0</v>
      </c>
      <c r="AM38" s="225"/>
      <c r="AN38" s="230"/>
      <c r="AO38" s="231" t="s">
        <v>147</v>
      </c>
      <c r="AP38" s="232">
        <f>IF(H13="有",VLOOKUP(G13,AN39:AP40,3),0)</f>
        <v>0</v>
      </c>
      <c r="AQ38" s="232">
        <f>IF(H14="有",VLOOKUP(G14,AN39:AQ40,4),0)</f>
        <v>0</v>
      </c>
      <c r="AR38" s="232">
        <f>IF(H15="有",VLOOKUP(G15,AN39:AR40,5),0)</f>
        <v>0</v>
      </c>
      <c r="AS38" s="232">
        <f>IF(H16="有",VLOOKUP(G16,AN39:AS40,6),0)</f>
        <v>0</v>
      </c>
      <c r="AT38" s="232">
        <f>IF(H17="有",VLOOKUP(G17,AN39:AT40,7),0)</f>
        <v>0</v>
      </c>
      <c r="AU38" s="232">
        <f>IF(H18="有",VLOOKUP(G18,AN39:AU40,8),0)</f>
        <v>0</v>
      </c>
      <c r="AV38" s="232">
        <f>IF(H19="有",VLOOKUP(G19,AN39:AV40,9),0)</f>
        <v>0</v>
      </c>
      <c r="AW38" s="222"/>
    </row>
    <row r="39" spans="2:51" ht="30.75" customHeight="1">
      <c r="AC39" s="219"/>
      <c r="AD39" s="229">
        <v>551000</v>
      </c>
      <c r="AE39" s="229">
        <v>1618999</v>
      </c>
      <c r="AF39" s="220">
        <f>G13-550000</f>
        <v>-550000</v>
      </c>
      <c r="AG39" s="220">
        <f>G14-550000</f>
        <v>-550000</v>
      </c>
      <c r="AH39" s="220">
        <f>G15-550000</f>
        <v>-550000</v>
      </c>
      <c r="AI39" s="220">
        <f>G16-550000</f>
        <v>-550000</v>
      </c>
      <c r="AJ39" s="220">
        <f>G17-550000</f>
        <v>-550000</v>
      </c>
      <c r="AK39" s="220">
        <f>G18-550000</f>
        <v>-550000</v>
      </c>
      <c r="AL39" s="220">
        <f>G19-550000</f>
        <v>-550000</v>
      </c>
      <c r="AM39" s="225"/>
      <c r="AN39" s="233">
        <v>8500001</v>
      </c>
      <c r="AO39" s="233">
        <v>9999999</v>
      </c>
      <c r="AP39" s="233">
        <f>ROUNDUP((G13-8500000)*0.1,0)</f>
        <v>-850000</v>
      </c>
      <c r="AQ39" s="233">
        <f>ROUNDUP((G14-8500000)*0.1,0)</f>
        <v>-850000</v>
      </c>
      <c r="AR39" s="233">
        <f>ROUNDUP((G15-8500000)*0.1,0)</f>
        <v>-850000</v>
      </c>
      <c r="AS39" s="233">
        <f>ROUNDUP((G16-8500000)*0.1,0)</f>
        <v>-850000</v>
      </c>
      <c r="AT39" s="233">
        <f>ROUNDUP((G17-8500000)*0.1,0)</f>
        <v>-850000</v>
      </c>
      <c r="AU39" s="233">
        <f>ROUNDUP((G18-8500000)*0.1,0)</f>
        <v>-850000</v>
      </c>
      <c r="AV39" s="233">
        <f>ROUNDUP((G19-8500000)*0.1,0)</f>
        <v>-850000</v>
      </c>
      <c r="AW39" s="222"/>
      <c r="AX39" s="228"/>
    </row>
    <row r="40" spans="2:51" ht="30.75" customHeight="1">
      <c r="AC40" s="219"/>
      <c r="AD40" s="229">
        <v>1619000</v>
      </c>
      <c r="AE40" s="229">
        <v>1619999</v>
      </c>
      <c r="AF40" s="220">
        <v>1069000</v>
      </c>
      <c r="AG40" s="220">
        <v>1069000</v>
      </c>
      <c r="AH40" s="220">
        <v>1069000</v>
      </c>
      <c r="AI40" s="220">
        <v>1069000</v>
      </c>
      <c r="AJ40" s="220">
        <v>1069000</v>
      </c>
      <c r="AK40" s="220">
        <v>1069000</v>
      </c>
      <c r="AL40" s="220">
        <v>1069000</v>
      </c>
      <c r="AM40" s="225"/>
      <c r="AN40" s="233">
        <v>10000000</v>
      </c>
      <c r="AO40" s="233"/>
      <c r="AP40" s="233">
        <f>150000</f>
        <v>150000</v>
      </c>
      <c r="AQ40" s="233">
        <v>150000</v>
      </c>
      <c r="AR40" s="233">
        <v>150000</v>
      </c>
      <c r="AS40" s="233">
        <v>150000</v>
      </c>
      <c r="AT40" s="233">
        <v>150000</v>
      </c>
      <c r="AU40" s="233">
        <v>150000</v>
      </c>
      <c r="AV40" s="233">
        <v>150000</v>
      </c>
      <c r="AW40" s="222"/>
    </row>
    <row r="41" spans="2:51" ht="30.75" customHeight="1">
      <c r="AC41" s="219"/>
      <c r="AD41" s="229">
        <v>1620000</v>
      </c>
      <c r="AE41" s="229">
        <v>1621999</v>
      </c>
      <c r="AF41" s="220">
        <v>1070000</v>
      </c>
      <c r="AG41" s="220">
        <v>1070000</v>
      </c>
      <c r="AH41" s="220">
        <v>1070000</v>
      </c>
      <c r="AI41" s="220">
        <v>1070000</v>
      </c>
      <c r="AJ41" s="220">
        <v>1070000</v>
      </c>
      <c r="AK41" s="220">
        <v>1070000</v>
      </c>
      <c r="AL41" s="220">
        <v>1070000</v>
      </c>
      <c r="AM41" s="45"/>
      <c r="AN41" s="234"/>
      <c r="AO41" s="234"/>
      <c r="AP41" s="206"/>
      <c r="AQ41" s="206"/>
      <c r="AR41" s="206"/>
      <c r="AS41" s="206"/>
      <c r="AT41" s="206"/>
      <c r="AU41" s="206"/>
      <c r="AV41" s="206"/>
      <c r="AW41" s="222"/>
      <c r="AY41" s="209"/>
    </row>
    <row r="42" spans="2:51" ht="30.75" customHeight="1">
      <c r="AC42" s="219"/>
      <c r="AD42" s="229">
        <v>1622000</v>
      </c>
      <c r="AE42" s="229">
        <v>1623999</v>
      </c>
      <c r="AF42" s="220">
        <v>1072000</v>
      </c>
      <c r="AG42" s="220">
        <v>1072000</v>
      </c>
      <c r="AH42" s="220">
        <v>1072000</v>
      </c>
      <c r="AI42" s="220">
        <v>1072000</v>
      </c>
      <c r="AJ42" s="220">
        <v>1072000</v>
      </c>
      <c r="AK42" s="220">
        <v>1072000</v>
      </c>
      <c r="AL42" s="220">
        <v>1072000</v>
      </c>
      <c r="AM42" s="45"/>
      <c r="AN42" s="45"/>
      <c r="AO42" s="45"/>
      <c r="AP42" s="45"/>
      <c r="AQ42" s="45"/>
      <c r="AR42" s="45"/>
      <c r="AS42" s="45"/>
      <c r="AT42" s="45"/>
      <c r="AU42" s="45"/>
      <c r="AV42" s="45"/>
      <c r="AW42" s="222"/>
    </row>
    <row r="43" spans="2:51" ht="30.75" customHeight="1">
      <c r="AC43" s="219"/>
      <c r="AD43" s="229">
        <v>1624000</v>
      </c>
      <c r="AE43" s="229">
        <v>1627999</v>
      </c>
      <c r="AF43" s="220">
        <v>1074000</v>
      </c>
      <c r="AG43" s="220">
        <v>1074000</v>
      </c>
      <c r="AH43" s="220">
        <v>1074000</v>
      </c>
      <c r="AI43" s="220">
        <v>1074000</v>
      </c>
      <c r="AJ43" s="220">
        <v>1074000</v>
      </c>
      <c r="AK43" s="220">
        <v>1074000</v>
      </c>
      <c r="AL43" s="220">
        <v>1074000</v>
      </c>
      <c r="AM43" s="45"/>
      <c r="AN43" s="221" t="s">
        <v>114</v>
      </c>
      <c r="AO43" s="45"/>
      <c r="AP43" s="45"/>
      <c r="AQ43" s="45"/>
      <c r="AR43" s="45"/>
      <c r="AS43" s="45"/>
      <c r="AT43" s="45"/>
      <c r="AU43" s="45"/>
      <c r="AV43" s="45"/>
      <c r="AW43" s="222"/>
    </row>
    <row r="44" spans="2:51" ht="30.75" customHeight="1">
      <c r="AC44" s="219"/>
      <c r="AD44" s="229">
        <v>1628000</v>
      </c>
      <c r="AE44" s="229">
        <v>1799999</v>
      </c>
      <c r="AF44" s="220">
        <f>ROUNDDOWN(G13/4,-3)*4*0.6+100000</f>
        <v>100000</v>
      </c>
      <c r="AG44" s="220">
        <f>ROUNDDOWN(G14/4,-3)*4*0.6+100000</f>
        <v>100000</v>
      </c>
      <c r="AH44" s="220">
        <f>ROUNDDOWN(G15/4,-3)*4*0.6+100000</f>
        <v>100000</v>
      </c>
      <c r="AI44" s="220">
        <f>ROUNDDOWN(G16/4,-3)*4*0.6+100000</f>
        <v>100000</v>
      </c>
      <c r="AJ44" s="220">
        <f>ROUNDDOWN(G17/4,-3)*4*0.6+100000</f>
        <v>100000</v>
      </c>
      <c r="AK44" s="220">
        <f>ROUNDDOWN(G18/4,-3)*4*0.6+100000</f>
        <v>100000</v>
      </c>
      <c r="AL44" s="220">
        <f>ROUNDDOWN(G19/4,-3)*4*0.6+100000</f>
        <v>100000</v>
      </c>
      <c r="AM44" s="45"/>
      <c r="AN44" s="369" t="s">
        <v>96</v>
      </c>
      <c r="AO44" s="370"/>
      <c r="AP44" s="226">
        <v>1</v>
      </c>
      <c r="AQ44" s="226">
        <v>2</v>
      </c>
      <c r="AR44" s="226">
        <v>3</v>
      </c>
      <c r="AS44" s="226">
        <v>4</v>
      </c>
      <c r="AT44" s="226">
        <v>5</v>
      </c>
      <c r="AU44" s="226">
        <v>6</v>
      </c>
      <c r="AV44" s="226">
        <v>7</v>
      </c>
      <c r="AW44" s="222"/>
    </row>
    <row r="45" spans="2:51" ht="30.75" customHeight="1">
      <c r="AC45" s="219"/>
      <c r="AD45" s="229">
        <v>1800000</v>
      </c>
      <c r="AE45" s="229">
        <v>3599999</v>
      </c>
      <c r="AF45" s="220">
        <f>ROUNDDOWN(G13/4,-3)*4*0.7-80000</f>
        <v>-80000</v>
      </c>
      <c r="AG45" s="220">
        <f>ROUNDDOWN(G14/4,-3)*4*0.7-80000</f>
        <v>-80000</v>
      </c>
      <c r="AH45" s="220">
        <f>ROUNDDOWN(G15/4,-3)*4*0.7-80000</f>
        <v>-80000</v>
      </c>
      <c r="AI45" s="220">
        <f>ROUNDDOWN(G16/4,-3)*4*0.7-80000</f>
        <v>-80000</v>
      </c>
      <c r="AJ45" s="220">
        <f>ROUNDDOWN(G17/4,-3)*4*0.7-80000</f>
        <v>-80000</v>
      </c>
      <c r="AK45" s="220">
        <f>ROUNDDOWN(G18/4,-3)*4*0.7-80000</f>
        <v>-80000</v>
      </c>
      <c r="AL45" s="220">
        <f>ROUNDDOWN(G19/4,-3)*4*0.7-80000</f>
        <v>-80000</v>
      </c>
      <c r="AM45" s="45"/>
      <c r="AN45" s="371"/>
      <c r="AO45" s="372"/>
      <c r="AP45" s="232">
        <f t="shared" ref="AP45:AV45" si="1">IF(AP48-100000&lt;0,0,AP48-100000)</f>
        <v>0</v>
      </c>
      <c r="AQ45" s="232">
        <f t="shared" si="1"/>
        <v>0</v>
      </c>
      <c r="AR45" s="232">
        <f t="shared" si="1"/>
        <v>0</v>
      </c>
      <c r="AS45" s="232">
        <f t="shared" si="1"/>
        <v>0</v>
      </c>
      <c r="AT45" s="232">
        <f t="shared" si="1"/>
        <v>0</v>
      </c>
      <c r="AU45" s="232">
        <f t="shared" si="1"/>
        <v>0</v>
      </c>
      <c r="AV45" s="232">
        <f t="shared" si="1"/>
        <v>0</v>
      </c>
      <c r="AW45" s="222"/>
    </row>
    <row r="46" spans="2:51" ht="30.75" customHeight="1">
      <c r="AC46" s="219"/>
      <c r="AD46" s="229">
        <v>3600000</v>
      </c>
      <c r="AE46" s="229">
        <v>6599999</v>
      </c>
      <c r="AF46" s="220">
        <f>ROUNDDOWN(G13/4,-3)*4*0.8-440000</f>
        <v>-440000</v>
      </c>
      <c r="AG46" s="220">
        <f>ROUNDDOWN(G14/4,-3)*4*0.8-440000</f>
        <v>-440000</v>
      </c>
      <c r="AH46" s="220">
        <f>ROUNDDOWN(G15/4,-3)*4*0.8-440000</f>
        <v>-440000</v>
      </c>
      <c r="AI46" s="220">
        <f>ROUNDDOWN(G16/4,-3)*4*0.8-440000</f>
        <v>-440000</v>
      </c>
      <c r="AJ46" s="220">
        <f>ROUNDDOWN(G17/4,-3)*4*0.8-440000</f>
        <v>-440000</v>
      </c>
      <c r="AK46" s="220">
        <f>ROUNDDOWN(G18/4,-3)*4*0.8-440000</f>
        <v>-440000</v>
      </c>
      <c r="AL46" s="220">
        <f>ROUNDDOWN(G19/4,-3)*4*0.8-440000</f>
        <v>-440000</v>
      </c>
      <c r="AM46" s="45"/>
      <c r="AN46" s="373" t="s">
        <v>94</v>
      </c>
      <c r="AO46" s="374"/>
      <c r="AP46" s="233">
        <f t="shared" ref="AP46:AV46" si="2">IF(AF37&gt;=100000,100000,AF37)</f>
        <v>0</v>
      </c>
      <c r="AQ46" s="233">
        <f t="shared" si="2"/>
        <v>0</v>
      </c>
      <c r="AR46" s="233">
        <f t="shared" si="2"/>
        <v>0</v>
      </c>
      <c r="AS46" s="233">
        <f t="shared" si="2"/>
        <v>0</v>
      </c>
      <c r="AT46" s="233">
        <f t="shared" si="2"/>
        <v>0</v>
      </c>
      <c r="AU46" s="233">
        <f t="shared" si="2"/>
        <v>0</v>
      </c>
      <c r="AV46" s="233">
        <f t="shared" si="2"/>
        <v>0</v>
      </c>
      <c r="AW46" s="222"/>
    </row>
    <row r="47" spans="2:51" ht="30.75" customHeight="1">
      <c r="AC47" s="219"/>
      <c r="AD47" s="229">
        <v>6600000</v>
      </c>
      <c r="AE47" s="229">
        <v>8499999</v>
      </c>
      <c r="AF47" s="220">
        <f>G13*0.9-1100000</f>
        <v>-1100000</v>
      </c>
      <c r="AG47" s="220">
        <f>G14*0.9-1100000</f>
        <v>-1100000</v>
      </c>
      <c r="AH47" s="220">
        <f>G15*0.9-1100000</f>
        <v>-1100000</v>
      </c>
      <c r="AI47" s="220">
        <f>G16*0.9-1100000</f>
        <v>-1100000</v>
      </c>
      <c r="AJ47" s="220">
        <f>G17*0.9-1100000</f>
        <v>-1100000</v>
      </c>
      <c r="AK47" s="220">
        <f>G18*0.9-1100000</f>
        <v>-1100000</v>
      </c>
      <c r="AL47" s="220">
        <f>G19*0.9-1100000</f>
        <v>-1100000</v>
      </c>
      <c r="AM47" s="45"/>
      <c r="AN47" s="373" t="s">
        <v>95</v>
      </c>
      <c r="AO47" s="374"/>
      <c r="AP47" s="233">
        <f>IF(AG54&gt;=100000,100000,AG54)</f>
        <v>0</v>
      </c>
      <c r="AQ47" s="233">
        <f>IF(AG55&gt;=100000,100000,AG55)</f>
        <v>0</v>
      </c>
      <c r="AR47" s="233">
        <f>IF(AG56&gt;=100000,100000,AG56)</f>
        <v>0</v>
      </c>
      <c r="AS47" s="233">
        <f>IF(AG57&gt;=100000,100000,AG57)</f>
        <v>0</v>
      </c>
      <c r="AT47" s="233">
        <f>IF(AG58&gt;=100000,100000,AG58)</f>
        <v>0</v>
      </c>
      <c r="AU47" s="233">
        <f>IF(AG59&gt;=100000,100000,AG59)</f>
        <v>0</v>
      </c>
      <c r="AV47" s="233">
        <f>IF(AG60&gt;=100000,100000,AG60)</f>
        <v>0</v>
      </c>
      <c r="AW47" s="222"/>
    </row>
    <row r="48" spans="2:51" ht="30.75" customHeight="1">
      <c r="AC48" s="219"/>
      <c r="AD48" s="229">
        <v>8500000</v>
      </c>
      <c r="AE48" s="229"/>
      <c r="AF48" s="220">
        <f>G13-1950000</f>
        <v>-1950000</v>
      </c>
      <c r="AG48" s="220">
        <f>G14-1950000</f>
        <v>-1950000</v>
      </c>
      <c r="AH48" s="220">
        <f>G15-1950000</f>
        <v>-1950000</v>
      </c>
      <c r="AI48" s="220">
        <f>G16-1950000</f>
        <v>-1950000</v>
      </c>
      <c r="AJ48" s="220">
        <f>G17-1950000</f>
        <v>-1950000</v>
      </c>
      <c r="AK48" s="220">
        <f>G18-1950000</f>
        <v>-1950000</v>
      </c>
      <c r="AL48" s="220">
        <f>G19-1950000</f>
        <v>-1950000</v>
      </c>
      <c r="AM48" s="45"/>
      <c r="AN48" s="365" t="s">
        <v>103</v>
      </c>
      <c r="AO48" s="366"/>
      <c r="AP48" s="233">
        <f t="shared" ref="AP48:AV48" si="3">SUM(AP46:AP47)</f>
        <v>0</v>
      </c>
      <c r="AQ48" s="233">
        <f t="shared" si="3"/>
        <v>0</v>
      </c>
      <c r="AR48" s="233">
        <f t="shared" si="3"/>
        <v>0</v>
      </c>
      <c r="AS48" s="233">
        <f t="shared" si="3"/>
        <v>0</v>
      </c>
      <c r="AT48" s="233">
        <f t="shared" si="3"/>
        <v>0</v>
      </c>
      <c r="AU48" s="233">
        <f t="shared" si="3"/>
        <v>0</v>
      </c>
      <c r="AV48" s="233">
        <f t="shared" si="3"/>
        <v>0</v>
      </c>
      <c r="AW48" s="222"/>
    </row>
    <row r="49" spans="21:65" ht="30.75" customHeight="1">
      <c r="U49" s="209"/>
      <c r="AC49" s="235"/>
      <c r="AD49" s="236"/>
      <c r="AE49" s="236"/>
      <c r="AF49" s="237"/>
      <c r="AG49" s="237"/>
      <c r="AH49" s="237"/>
      <c r="AI49" s="237"/>
      <c r="AJ49" s="237"/>
      <c r="AK49" s="237"/>
      <c r="AL49" s="237"/>
      <c r="AM49" s="44"/>
      <c r="AN49" s="44"/>
      <c r="AO49" s="44"/>
      <c r="AP49" s="44"/>
      <c r="AQ49" s="44"/>
      <c r="AR49" s="44"/>
      <c r="AS49" s="44"/>
      <c r="AT49" s="44"/>
      <c r="AU49" s="44"/>
      <c r="AV49" s="44"/>
      <c r="AW49" s="238"/>
    </row>
    <row r="50" spans="21:65" ht="30.75" customHeight="1">
      <c r="AC50" s="45"/>
      <c r="AD50" s="143"/>
      <c r="AE50" s="143"/>
      <c r="AF50" s="239"/>
      <c r="AG50" s="239"/>
      <c r="AH50" s="239"/>
      <c r="AI50" s="239"/>
      <c r="AJ50" s="239"/>
      <c r="AK50" s="239"/>
      <c r="AL50" s="239"/>
      <c r="AM50" s="45"/>
      <c r="AN50" s="45"/>
      <c r="AO50" s="45"/>
      <c r="AP50" s="45"/>
      <c r="AQ50" s="45"/>
      <c r="AR50" s="45"/>
      <c r="AS50" s="45"/>
      <c r="AT50" s="45"/>
      <c r="AU50" s="45"/>
      <c r="AV50" s="45"/>
      <c r="AW50" s="45"/>
    </row>
    <row r="51" spans="21:65" ht="26.25" customHeight="1">
      <c r="AC51" s="240" t="s">
        <v>101</v>
      </c>
      <c r="AD51" s="241"/>
      <c r="AE51" s="206"/>
      <c r="AF51" s="206"/>
      <c r="AG51" s="206"/>
      <c r="AH51" s="206"/>
      <c r="AI51" s="206"/>
      <c r="AJ51" s="206"/>
      <c r="AK51" s="206"/>
      <c r="AL51" s="206"/>
      <c r="AM51" s="206"/>
      <c r="AN51" s="207"/>
    </row>
    <row r="52" spans="21:65" ht="30.75" customHeight="1">
      <c r="AC52" s="210"/>
      <c r="AD52" s="359" t="s">
        <v>104</v>
      </c>
      <c r="AE52" s="362" t="s">
        <v>105</v>
      </c>
      <c r="AF52" s="359" t="s">
        <v>106</v>
      </c>
      <c r="AG52" s="377" t="s">
        <v>5</v>
      </c>
      <c r="AH52" s="242"/>
      <c r="AI52" s="243"/>
      <c r="AJ52" s="362" t="s">
        <v>93</v>
      </c>
      <c r="AK52" s="244" t="s">
        <v>6</v>
      </c>
      <c r="AL52" s="245"/>
      <c r="AM52" s="246"/>
      <c r="AN52" s="247"/>
    </row>
    <row r="53" spans="21:65" ht="30.75" customHeight="1">
      <c r="AC53" s="219"/>
      <c r="AD53" s="360"/>
      <c r="AE53" s="363"/>
      <c r="AF53" s="360"/>
      <c r="AG53" s="360"/>
      <c r="AH53" s="248" t="s">
        <v>91</v>
      </c>
      <c r="AI53" s="248" t="s">
        <v>92</v>
      </c>
      <c r="AJ53" s="363"/>
      <c r="AK53" s="249"/>
      <c r="AL53" s="250"/>
      <c r="AM53" s="251"/>
      <c r="AN53" s="252"/>
    </row>
    <row r="54" spans="21:65" ht="30.75" customHeight="1">
      <c r="AC54" s="253">
        <v>1</v>
      </c>
      <c r="AD54" s="254" t="str">
        <f t="shared" ref="AD54:AD60" si="4">IF(C13&gt;0,IF(B13="令和","5",IF(B13="平成","4",IF(B13="昭和","3","")))&amp;C13&amp;D13&amp;E13,"")</f>
        <v/>
      </c>
      <c r="AE54" s="40" t="str">
        <f t="shared" ref="AE54:AE60" si="5">IF(C13&gt;0,VALUE(AD54),"")</f>
        <v/>
      </c>
      <c r="AF54" s="36" t="str">
        <f>IF(AE54="","",IF(AE54&lt;=$AF$63,"65歳以上","65歳未満"))</f>
        <v/>
      </c>
      <c r="AG54" s="255">
        <f t="shared" ref="AG54:AG60" si="6">IF(AE54&lt;=$AF$63,AI54,AH54)</f>
        <v>0</v>
      </c>
      <c r="AH54" s="255">
        <f>IF(I13*VLOOKUP(I13,$AK$60:$AM$64,2)-VLOOKUP(I13,$AK$60:$AM$64,3)+AJ54&gt;0,I13*VLOOKUP(I13,$AK$60:$AM$64,2)-VLOOKUP(I13,$AK$60:$AM$64,3)+AJ54,0)</f>
        <v>0</v>
      </c>
      <c r="AI54" s="255">
        <f>IF(I13*VLOOKUP(I13,$AK$54:$AM$58,2)-VLOOKUP(I13,$AK$54:$AM$58,3)+AJ54&gt;0,I13*VLOOKUP(I13,$AK$54:$AM$58,2)-VLOOKUP(I13,$AK$54:$AM$58,3)+AJ54,0)</f>
        <v>0</v>
      </c>
      <c r="AJ54" s="256">
        <f>IF(AQ10&lt;=10000000,0,IF(AQ10&lt;=20000000,100000,200000))</f>
        <v>0</v>
      </c>
      <c r="AK54" s="255">
        <v>0</v>
      </c>
      <c r="AL54" s="257">
        <v>1</v>
      </c>
      <c r="AM54" s="255">
        <v>1100000</v>
      </c>
      <c r="AN54" s="258"/>
    </row>
    <row r="55" spans="21:65" ht="30.75" customHeight="1">
      <c r="AC55" s="253">
        <v>2</v>
      </c>
      <c r="AD55" s="254" t="str">
        <f t="shared" si="4"/>
        <v/>
      </c>
      <c r="AE55" s="40" t="str">
        <f t="shared" si="5"/>
        <v/>
      </c>
      <c r="AF55" s="36" t="str">
        <f t="shared" ref="AF55:AF60" si="7">IF(AE55="","",IF(AE55&lt;=$AF$63,"65歳以上","65歳未満"))</f>
        <v/>
      </c>
      <c r="AG55" s="255">
        <f t="shared" si="6"/>
        <v>0</v>
      </c>
      <c r="AH55" s="255">
        <f t="shared" ref="AH55:AH60" si="8">IF(I14*VLOOKUP(I14,$AK$60:$AM$64,2)-VLOOKUP(I14,$AK$60:$AM$64,3)+AJ55&gt;0,I14*VLOOKUP(I14,$AK$60:$AM$64,2)-VLOOKUP(I14,$AK$60:$AM$64,3)+AJ55,0)</f>
        <v>0</v>
      </c>
      <c r="AI55" s="255">
        <f t="shared" ref="AI55:AI60" si="9">IF(I14*VLOOKUP(I14,$AK$54:$AM$58,2)-VLOOKUP(I14,$AK$54:$AM$58,3)+AJ55&gt;0,I14*VLOOKUP(I14,$AK$54:$AM$58,2)-VLOOKUP(I14,$AK$54:$AM$58,3)+AJ55,0)</f>
        <v>0</v>
      </c>
      <c r="AJ55" s="256">
        <f>IF(AQ13&lt;=10000000,0,IF(AQ13&lt;=20000000,100000,200000))</f>
        <v>0</v>
      </c>
      <c r="AK55" s="255">
        <v>3300000</v>
      </c>
      <c r="AL55" s="257">
        <v>0.75</v>
      </c>
      <c r="AM55" s="255">
        <v>275000</v>
      </c>
      <c r="AN55" s="258"/>
    </row>
    <row r="56" spans="21:65" ht="30.75" customHeight="1">
      <c r="AC56" s="253">
        <v>3</v>
      </c>
      <c r="AD56" s="254" t="str">
        <f t="shared" si="4"/>
        <v/>
      </c>
      <c r="AE56" s="40" t="str">
        <f t="shared" si="5"/>
        <v/>
      </c>
      <c r="AF56" s="36" t="str">
        <f t="shared" si="7"/>
        <v/>
      </c>
      <c r="AG56" s="255">
        <f t="shared" si="6"/>
        <v>0</v>
      </c>
      <c r="AH56" s="255">
        <f t="shared" si="8"/>
        <v>0</v>
      </c>
      <c r="AI56" s="255">
        <f t="shared" si="9"/>
        <v>0</v>
      </c>
      <c r="AJ56" s="256">
        <f>IF(AQ16&lt;=10000000,0,IF(AQ16&lt;=20000000,100000,200000))</f>
        <v>0</v>
      </c>
      <c r="AK56" s="194">
        <v>4100000</v>
      </c>
      <c r="AL56" s="259">
        <v>0.85</v>
      </c>
      <c r="AM56" s="194">
        <v>685000</v>
      </c>
      <c r="AN56" s="258"/>
    </row>
    <row r="57" spans="21:65" ht="30.75" customHeight="1">
      <c r="AC57" s="253">
        <v>4</v>
      </c>
      <c r="AD57" s="254" t="str">
        <f t="shared" si="4"/>
        <v/>
      </c>
      <c r="AE57" s="40" t="str">
        <f t="shared" si="5"/>
        <v/>
      </c>
      <c r="AF57" s="36" t="str">
        <f t="shared" si="7"/>
        <v/>
      </c>
      <c r="AG57" s="255">
        <f t="shared" si="6"/>
        <v>0</v>
      </c>
      <c r="AH57" s="255">
        <f>IF(I16*VLOOKUP(I16,$AK$60:$AM$64,2)-VLOOKUP(I16,$AK$60:$AM$64,3)+AJ57&gt;0,I16*VLOOKUP(I16,$AK$60:$AM$64,2)-VLOOKUP(I16,$AK$60:$AM$64,3)+AJ57,0)</f>
        <v>0</v>
      </c>
      <c r="AI57" s="255">
        <f t="shared" si="9"/>
        <v>0</v>
      </c>
      <c r="AJ57" s="256">
        <f>IF(AQ19&lt;=10000000,0,IF(AQ19&lt;=20000000,100000,200000))</f>
        <v>0</v>
      </c>
      <c r="AK57" s="194">
        <v>7700000</v>
      </c>
      <c r="AL57" s="259">
        <v>0.95</v>
      </c>
      <c r="AM57" s="194">
        <v>1455000</v>
      </c>
      <c r="AN57" s="258"/>
    </row>
    <row r="58" spans="21:65" ht="25.5" customHeight="1">
      <c r="AC58" s="253">
        <v>5</v>
      </c>
      <c r="AD58" s="254" t="str">
        <f t="shared" si="4"/>
        <v/>
      </c>
      <c r="AE58" s="40" t="str">
        <f t="shared" si="5"/>
        <v/>
      </c>
      <c r="AF58" s="36" t="str">
        <f t="shared" si="7"/>
        <v/>
      </c>
      <c r="AG58" s="255">
        <f t="shared" si="6"/>
        <v>0</v>
      </c>
      <c r="AH58" s="255">
        <f t="shared" si="8"/>
        <v>0</v>
      </c>
      <c r="AI58" s="255">
        <f t="shared" si="9"/>
        <v>0</v>
      </c>
      <c r="AJ58" s="256">
        <f>IF(AQ22&lt;=10000000,0,IF(AQ22&lt;=20000000,100000,200000))</f>
        <v>0</v>
      </c>
      <c r="AK58" s="194">
        <v>10000000</v>
      </c>
      <c r="AL58" s="259">
        <v>1</v>
      </c>
      <c r="AM58" s="194">
        <v>1955000</v>
      </c>
      <c r="AN58" s="258"/>
    </row>
    <row r="59" spans="21:65" ht="25.5" customHeight="1">
      <c r="AC59" s="253">
        <v>6</v>
      </c>
      <c r="AD59" s="254" t="str">
        <f t="shared" si="4"/>
        <v/>
      </c>
      <c r="AE59" s="40" t="str">
        <f t="shared" si="5"/>
        <v/>
      </c>
      <c r="AF59" s="36" t="str">
        <f t="shared" si="7"/>
        <v/>
      </c>
      <c r="AG59" s="255">
        <f t="shared" si="6"/>
        <v>0</v>
      </c>
      <c r="AH59" s="255">
        <f t="shared" si="8"/>
        <v>0</v>
      </c>
      <c r="AI59" s="255">
        <f>IF(I18*VLOOKUP(I18,$AK$54:$AM$58,2)-VLOOKUP(I18,$AK$54:$AM$58,3)+AJ59&gt;0,I18*VLOOKUP(I18,$AK$54:$AM$58,2)-VLOOKUP(I18,$AK$54:$AM$58,3)+AJ59,0)</f>
        <v>0</v>
      </c>
      <c r="AJ59" s="256">
        <f>IF(AQ25&lt;=10000000,0,IF(AQ25&lt;=20000000,100000,200000))</f>
        <v>0</v>
      </c>
      <c r="AK59" s="255"/>
      <c r="AL59" s="257"/>
      <c r="AM59" s="255"/>
      <c r="AN59" s="258"/>
    </row>
    <row r="60" spans="21:65" ht="25.5" customHeight="1">
      <c r="AC60" s="253">
        <v>7</v>
      </c>
      <c r="AD60" s="254" t="str">
        <f t="shared" si="4"/>
        <v/>
      </c>
      <c r="AE60" s="40" t="str">
        <f t="shared" si="5"/>
        <v/>
      </c>
      <c r="AF60" s="36" t="str">
        <f t="shared" si="7"/>
        <v/>
      </c>
      <c r="AG60" s="255">
        <f t="shared" si="6"/>
        <v>0</v>
      </c>
      <c r="AH60" s="255">
        <f t="shared" si="8"/>
        <v>0</v>
      </c>
      <c r="AI60" s="255">
        <f t="shared" si="9"/>
        <v>0</v>
      </c>
      <c r="AJ60" s="256">
        <f>IF(AQ28&lt;=10000000,0,IF(AQ28&lt;=20000000,100000,200000))</f>
        <v>0</v>
      </c>
      <c r="AK60" s="255">
        <v>0</v>
      </c>
      <c r="AL60" s="257">
        <v>1</v>
      </c>
      <c r="AM60" s="255">
        <v>600000</v>
      </c>
      <c r="AN60" s="258"/>
    </row>
    <row r="61" spans="21:65" ht="25.5" customHeight="1">
      <c r="AC61" s="219"/>
      <c r="AD61" s="45"/>
      <c r="AE61" s="45"/>
      <c r="AF61" s="206"/>
      <c r="AG61" s="260"/>
      <c r="AH61" s="261"/>
      <c r="AI61" s="261"/>
      <c r="AJ61" s="45"/>
      <c r="AK61" s="255">
        <v>1300000</v>
      </c>
      <c r="AL61" s="257">
        <v>0.75</v>
      </c>
      <c r="AM61" s="255">
        <v>275000</v>
      </c>
      <c r="AN61" s="222"/>
    </row>
    <row r="62" spans="21:65" ht="25.5" customHeight="1">
      <c r="AC62" s="219"/>
      <c r="AD62" s="45"/>
      <c r="AE62" s="262"/>
      <c r="AF62" s="263" t="s">
        <v>107</v>
      </c>
      <c r="AG62" s="260"/>
      <c r="AH62" s="260"/>
      <c r="AI62" s="260"/>
      <c r="AJ62" s="45"/>
      <c r="AK62" s="255">
        <v>4100000</v>
      </c>
      <c r="AL62" s="257">
        <v>0.85</v>
      </c>
      <c r="AM62" s="255">
        <v>685000</v>
      </c>
      <c r="AN62" s="222"/>
    </row>
    <row r="63" spans="21:65" ht="25.5" customHeight="1">
      <c r="U63" s="209"/>
      <c r="AC63" s="219"/>
      <c r="AD63" s="45"/>
      <c r="AE63" s="45"/>
      <c r="AF63" s="270">
        <v>3350101</v>
      </c>
      <c r="AG63" s="45"/>
      <c r="AH63" s="45"/>
      <c r="AI63" s="45"/>
      <c r="AJ63" s="45"/>
      <c r="AK63" s="255">
        <v>7700000</v>
      </c>
      <c r="AL63" s="257">
        <v>0.95</v>
      </c>
      <c r="AM63" s="255">
        <v>1455000</v>
      </c>
      <c r="AN63" s="222"/>
    </row>
    <row r="64" spans="21:65" ht="25.5" customHeight="1">
      <c r="AC64" s="219"/>
      <c r="AD64" s="45"/>
      <c r="AE64" s="45"/>
      <c r="AF64" s="45" t="s">
        <v>150</v>
      </c>
      <c r="AG64" s="45"/>
      <c r="AH64" s="45"/>
      <c r="AI64" s="45"/>
      <c r="AJ64" s="45"/>
      <c r="AK64" s="255">
        <v>10000000</v>
      </c>
      <c r="AL64" s="257">
        <v>1</v>
      </c>
      <c r="AM64" s="255">
        <v>1955000</v>
      </c>
      <c r="AN64" s="222"/>
      <c r="BM64" s="45"/>
    </row>
    <row r="65" spans="25:54" ht="25.5" customHeight="1">
      <c r="AC65" s="235"/>
      <c r="AD65" s="44"/>
      <c r="AE65" s="44"/>
      <c r="AF65" s="44"/>
      <c r="AG65" s="44"/>
      <c r="AH65" s="44"/>
      <c r="AI65" s="44"/>
      <c r="AJ65" s="44"/>
      <c r="AK65" s="264"/>
      <c r="AL65" s="265"/>
      <c r="AM65" s="264"/>
      <c r="AN65" s="238"/>
    </row>
    <row r="66" spans="25:54" ht="25.5" customHeight="1"/>
    <row r="67" spans="25:54" ht="25.5" customHeight="1">
      <c r="AB67" s="209"/>
      <c r="AD67" s="45"/>
      <c r="AE67" s="45"/>
    </row>
    <row r="68" spans="25:54" ht="25.5" customHeight="1"/>
    <row r="69" spans="25:54" ht="25.5" customHeight="1">
      <c r="Y69" s="209"/>
      <c r="BB69" s="266"/>
    </row>
    <row r="70" spans="25:54" ht="25.5" customHeight="1"/>
    <row r="71" spans="25:54" ht="25.5" customHeight="1">
      <c r="AZ71" s="267"/>
      <c r="BA71" s="29"/>
    </row>
    <row r="72" spans="25:54" ht="25.5" customHeight="1"/>
    <row r="73" spans="25:54" ht="25.5" customHeight="1"/>
    <row r="74" spans="25:54" ht="25.5" customHeight="1"/>
    <row r="75" spans="25:54" ht="25.5" customHeight="1"/>
    <row r="76" spans="25:54" ht="25.5" customHeight="1"/>
    <row r="77" spans="25:54" ht="25.5" customHeight="1">
      <c r="BB77" s="143"/>
    </row>
    <row r="78" spans="25:54" ht="25.5" customHeight="1"/>
    <row r="79" spans="25:54" ht="30.75" customHeight="1"/>
    <row r="80" spans="25:54" ht="30.75" customHeight="1"/>
    <row r="81" ht="30.75" customHeight="1"/>
    <row r="82" ht="30.75" customHeight="1"/>
    <row r="83" ht="30.75" customHeight="1"/>
    <row r="84" ht="30.75" customHeight="1"/>
    <row r="85" ht="30.75" customHeight="1"/>
    <row r="86" ht="30.75" customHeight="1"/>
    <row r="87" ht="30.75" customHeight="1"/>
    <row r="88" ht="30.75" customHeight="1"/>
    <row r="89" ht="30.75" customHeight="1"/>
    <row r="90" ht="30.75" customHeight="1"/>
    <row r="91" ht="30.75" customHeight="1"/>
    <row r="92" ht="30.75" customHeight="1"/>
    <row r="93" ht="30.75" customHeight="1"/>
    <row r="94" ht="30.75" customHeight="1"/>
    <row r="95" ht="30.75" customHeight="1"/>
    <row r="96" ht="30.75" customHeight="1"/>
    <row r="97" spans="52:65" ht="30.75" customHeight="1"/>
    <row r="98" spans="52:65" ht="30.75" customHeight="1">
      <c r="AZ98" s="209"/>
    </row>
    <row r="99" spans="52:65" ht="30.75" customHeight="1"/>
    <row r="100" spans="52:65" ht="30.75" customHeight="1"/>
    <row r="101" spans="52:65" ht="30.75" customHeight="1"/>
    <row r="102" spans="52:65" ht="30.75" customHeight="1"/>
    <row r="103" spans="52:65" ht="30.75" customHeight="1"/>
    <row r="104" spans="52:65" ht="30.75" customHeight="1"/>
    <row r="105" spans="52:65" ht="30.75" customHeight="1"/>
    <row r="106" spans="52:65" ht="30.75" customHeight="1"/>
    <row r="107" spans="52:65" ht="30.75" customHeight="1">
      <c r="BB107" s="45"/>
      <c r="BC107" s="45"/>
      <c r="BD107" s="45"/>
      <c r="BE107" s="45"/>
      <c r="BF107" s="45"/>
      <c r="BG107" s="45"/>
      <c r="BH107" s="45"/>
      <c r="BI107" s="45"/>
      <c r="BJ107" s="260"/>
      <c r="BK107" s="268"/>
      <c r="BL107" s="260"/>
      <c r="BM107" s="45"/>
    </row>
    <row r="108" spans="52:65" ht="30.75" customHeight="1"/>
    <row r="109" spans="52:65" ht="30.75" customHeight="1">
      <c r="BA109" s="45"/>
    </row>
    <row r="110" spans="52:65" ht="30.75" customHeight="1"/>
    <row r="111" spans="52:65" ht="30.75" customHeight="1"/>
    <row r="112" spans="52:65" ht="30.75" customHeight="1"/>
    <row r="113" ht="30.75" customHeight="1"/>
    <row r="114" ht="30.75" customHeight="1"/>
    <row r="115" ht="30.75" customHeight="1"/>
    <row r="116" ht="30.75" customHeight="1"/>
    <row r="117" ht="30.75" customHeight="1"/>
    <row r="118" ht="30.75" customHeight="1"/>
    <row r="119" ht="30.75" customHeight="1"/>
    <row r="120" ht="30.75" customHeight="1"/>
    <row r="121" ht="30.75" customHeight="1"/>
    <row r="122" ht="30.75" customHeight="1"/>
    <row r="123" ht="30.75" customHeight="1"/>
    <row r="124" ht="30.75" customHeight="1"/>
    <row r="125" ht="30.75" customHeight="1"/>
    <row r="126" ht="30.75" customHeight="1"/>
    <row r="127" ht="30.75" customHeight="1"/>
    <row r="128" ht="30.75" customHeight="1"/>
    <row r="129" ht="90.75" customHeight="1"/>
    <row r="130" ht="15.75" customHeight="1"/>
    <row r="131" ht="15.75" customHeight="1"/>
    <row r="132" ht="15.75" customHeight="1"/>
    <row r="133" ht="15.75" customHeight="1"/>
    <row r="134" ht="15.75" customHeight="1"/>
    <row r="135" ht="15.75" customHeight="1"/>
  </sheetData>
  <sheetProtection password="CA7E" sheet="1" selectLockedCells="1"/>
  <dataConsolidate/>
  <mergeCells count="163">
    <mergeCell ref="AK4:AM4"/>
    <mergeCell ref="AO16:AO18"/>
    <mergeCell ref="AO19:AO21"/>
    <mergeCell ref="AO22:AO24"/>
    <mergeCell ref="AO25:AO27"/>
    <mergeCell ref="AO28:AO30"/>
    <mergeCell ref="AL13:AL15"/>
    <mergeCell ref="AK13:AK15"/>
    <mergeCell ref="AJ13:AJ15"/>
    <mergeCell ref="AJ16:AJ18"/>
    <mergeCell ref="AK16:AK18"/>
    <mergeCell ref="AL16:AL18"/>
    <mergeCell ref="AN19:AN21"/>
    <mergeCell ref="AM19:AM21"/>
    <mergeCell ref="AL19:AL21"/>
    <mergeCell ref="AK22:AK24"/>
    <mergeCell ref="AL22:AL24"/>
    <mergeCell ref="AN28:AN30"/>
    <mergeCell ref="AN25:AN27"/>
    <mergeCell ref="AM28:AM30"/>
    <mergeCell ref="AM25:AM27"/>
    <mergeCell ref="AL28:AL30"/>
    <mergeCell ref="AX10:AX12"/>
    <mergeCell ref="AG52:AG53"/>
    <mergeCell ref="AX25:AX27"/>
    <mergeCell ref="AX28:AX30"/>
    <mergeCell ref="AX22:AX24"/>
    <mergeCell ref="AX19:AX21"/>
    <mergeCell ref="AV10:AV12"/>
    <mergeCell ref="AV28:AV30"/>
    <mergeCell ref="AV16:AV18"/>
    <mergeCell ref="AV19:AV21"/>
    <mergeCell ref="AV22:AV24"/>
    <mergeCell ref="AV13:AV15"/>
    <mergeCell ref="AV25:AV27"/>
    <mergeCell ref="AX13:AX15"/>
    <mergeCell ref="AX16:AX18"/>
    <mergeCell ref="AT10:AT12"/>
    <mergeCell ref="AT13:AT15"/>
    <mergeCell ref="AG10:AG12"/>
    <mergeCell ref="AT19:AT21"/>
    <mergeCell ref="AT22:AT24"/>
    <mergeCell ref="AT25:AT27"/>
    <mergeCell ref="AT28:AT30"/>
    <mergeCell ref="AG28:AG30"/>
    <mergeCell ref="AL10:AL12"/>
    <mergeCell ref="AN48:AO48"/>
    <mergeCell ref="AF52:AF53"/>
    <mergeCell ref="AM16:AM18"/>
    <mergeCell ref="AN16:AN18"/>
    <mergeCell ref="AM22:AM24"/>
    <mergeCell ref="AN22:AN24"/>
    <mergeCell ref="AH28:AH29"/>
    <mergeCell ref="AH22:AH23"/>
    <mergeCell ref="AO13:AO15"/>
    <mergeCell ref="AK25:AK27"/>
    <mergeCell ref="AH13:AH14"/>
    <mergeCell ref="AH16:AH17"/>
    <mergeCell ref="AH19:AH20"/>
    <mergeCell ref="AN37:AO37"/>
    <mergeCell ref="AG13:AG15"/>
    <mergeCell ref="AF13:AF15"/>
    <mergeCell ref="AK19:AK21"/>
    <mergeCell ref="AG19:AG21"/>
    <mergeCell ref="AF19:AF21"/>
    <mergeCell ref="AJ19:AJ21"/>
    <mergeCell ref="AN44:AO45"/>
    <mergeCell ref="AN46:AO46"/>
    <mergeCell ref="AN47:AO47"/>
    <mergeCell ref="AL25:AL27"/>
    <mergeCell ref="AD52:AD53"/>
    <mergeCell ref="AD37:AE37"/>
    <mergeCell ref="AD36:AE36"/>
    <mergeCell ref="AE52:AE53"/>
    <mergeCell ref="AJ28:AJ30"/>
    <mergeCell ref="AG25:AG27"/>
    <mergeCell ref="AF28:AF30"/>
    <mergeCell ref="AF25:AF27"/>
    <mergeCell ref="AG22:AG24"/>
    <mergeCell ref="AJ22:AJ24"/>
    <mergeCell ref="AJ25:AJ27"/>
    <mergeCell ref="AJ52:AJ53"/>
    <mergeCell ref="AD28:AE30"/>
    <mergeCell ref="AD25:AE27"/>
    <mergeCell ref="AM13:AM15"/>
    <mergeCell ref="AC5:AD5"/>
    <mergeCell ref="AE5:AF5"/>
    <mergeCell ref="AE6:AF6"/>
    <mergeCell ref="AC10:AC12"/>
    <mergeCell ref="AC13:AC15"/>
    <mergeCell ref="AC16:AC18"/>
    <mergeCell ref="AC19:AC21"/>
    <mergeCell ref="AC22:AC24"/>
    <mergeCell ref="AF7:AF8"/>
    <mergeCell ref="AD10:AE12"/>
    <mergeCell ref="AD22:AE24"/>
    <mergeCell ref="AD19:AE21"/>
    <mergeCell ref="AD16:AE18"/>
    <mergeCell ref="AD13:AE15"/>
    <mergeCell ref="AF22:AF24"/>
    <mergeCell ref="AC6:AD6"/>
    <mergeCell ref="AF10:AF12"/>
    <mergeCell ref="AF16:AF18"/>
    <mergeCell ref="AC25:AC27"/>
    <mergeCell ref="AP28:AP30"/>
    <mergeCell ref="AQ22:AQ24"/>
    <mergeCell ref="AQ19:AQ21"/>
    <mergeCell ref="AQ28:AQ30"/>
    <mergeCell ref="AQ25:AQ27"/>
    <mergeCell ref="AQ13:AQ15"/>
    <mergeCell ref="AQ16:AQ18"/>
    <mergeCell ref="AO10:AO12"/>
    <mergeCell ref="AH10:AH11"/>
    <mergeCell ref="AH25:AH26"/>
    <mergeCell ref="AK28:AK30"/>
    <mergeCell ref="AQ10:AQ12"/>
    <mergeCell ref="AN10:AN12"/>
    <mergeCell ref="AM10:AM12"/>
    <mergeCell ref="AK10:AK12"/>
    <mergeCell ref="AJ10:AJ12"/>
    <mergeCell ref="AP10:AP12"/>
    <mergeCell ref="AP13:AP15"/>
    <mergeCell ref="AP16:AP18"/>
    <mergeCell ref="AP19:AP21"/>
    <mergeCell ref="AP22:AP24"/>
    <mergeCell ref="AP25:AP27"/>
    <mergeCell ref="AN13:AN15"/>
    <mergeCell ref="J14:K14"/>
    <mergeCell ref="J15:K15"/>
    <mergeCell ref="B12:E12"/>
    <mergeCell ref="B25:E26"/>
    <mergeCell ref="B27:E28"/>
    <mergeCell ref="F25:G26"/>
    <mergeCell ref="F27:G28"/>
    <mergeCell ref="B24:E24"/>
    <mergeCell ref="F24:G24"/>
    <mergeCell ref="H24:I24"/>
    <mergeCell ref="H25:I26"/>
    <mergeCell ref="H27:I28"/>
    <mergeCell ref="B33:AA33"/>
    <mergeCell ref="B32:V32"/>
    <mergeCell ref="B34:J34"/>
    <mergeCell ref="B31:L31"/>
    <mergeCell ref="AI10:AI11"/>
    <mergeCell ref="AI13:AI14"/>
    <mergeCell ref="AI16:AI17"/>
    <mergeCell ref="AI19:AI20"/>
    <mergeCell ref="AI22:AI23"/>
    <mergeCell ref="AI25:AI26"/>
    <mergeCell ref="AI28:AI29"/>
    <mergeCell ref="J16:K16"/>
    <mergeCell ref="J17:K17"/>
    <mergeCell ref="J18:K18"/>
    <mergeCell ref="J19:K19"/>
    <mergeCell ref="K24:L24"/>
    <mergeCell ref="S12:Z12"/>
    <mergeCell ref="P13:P19"/>
    <mergeCell ref="K25:L26"/>
    <mergeCell ref="K27:L28"/>
    <mergeCell ref="AG16:AG18"/>
    <mergeCell ref="AC28:AC30"/>
    <mergeCell ref="J12:K12"/>
    <mergeCell ref="J13:K13"/>
  </mergeCells>
  <phoneticPr fontId="1"/>
  <dataValidations count="10">
    <dataValidation showDropDown="1" showInputMessage="1" showErrorMessage="1" sqref="B24" xr:uid="{00000000-0002-0000-0000-000000000000}"/>
    <dataValidation type="list" allowBlank="1" showInputMessage="1" showErrorMessage="1" error="非自発軽減に該当する際の計算をする場合は「該当」と入力してください。それ以外は何も入力しないでください。" sqref="F13:F19" xr:uid="{00000000-0002-0000-0000-000001000000}">
      <formula1>"　,該当"</formula1>
    </dataValidation>
    <dataValidation type="list" allowBlank="1" showInputMessage="1" showErrorMessage="1" error="「昭和」「平成」「令和」のいずれかを入力して下さい。" sqref="B13:B19" xr:uid="{00000000-0002-0000-0000-000002000000}">
      <formula1>"昭和, 平成,令和"</formula1>
    </dataValidation>
    <dataValidation type="list" allowBlank="1" showInputMessage="1" showErrorMessage="1" error="「01」から「12」までの数値を入力してください。（1～9は二桁で入力してください）" sqref="D13:D19" xr:uid="{00000000-0002-0000-0000-000003000000}">
      <formula1>"01, 02, 03, 04, 05, 06, 07, 08, 09, 10, 11, 12"</formula1>
    </dataValidation>
    <dataValidation type="list" allowBlank="1" showInputMessage="1" showErrorMessage="1" error="「01」から「31」までの数値を入力してください。（1～9は二桁で入力してください）" sqref="E13:E19" xr:uid="{00000000-0002-0000-0000-000004000000}">
      <formula1>"01, 02, 03, 04, 05, 06, 07, 08, 09, 10, 11, 12, 13, 14, 15, 16, 17, 18, 19, 20, 21, 22, 23, 24, 25, 26, 27, 28, 29, 30, 31"</formula1>
    </dataValidation>
    <dataValidation type="list" errorStyle="information" allowBlank="1" showDropDown="1" showInputMessage="1" errorTitle="必ずお読みください" error="税率が確定する７月までは、平成２６年度の税率をもとに計算しています。_x000a__x000a_試算結果は概算であり、実際の税額と異なる場合があります。" sqref="T13" xr:uid="{00000000-0002-0000-0000-000005000000}">
      <formula1>"25"</formula1>
    </dataValidation>
    <dataValidation type="list" allowBlank="1" showInputMessage="1" showErrorMessage="1" error="「１」から「１２」までの数字を入力してください。" sqref="V13" xr:uid="{00000000-0002-0000-0000-000006000000}">
      <formula1>"1,2,3,4,5,6,7,8,9,10,11,12"</formula1>
    </dataValidation>
    <dataValidation type="list" allowBlank="1" showInputMessage="1" showErrorMessage="1" error="「１」から「３１」までの数字を入力してください。（存在する日付を入力してください）" sqref="X13" xr:uid="{00000000-0002-0000-0000-000007000000}">
      <formula1>"1,2,3,4,5,6,7,8,9,10,11,12,13,14,15,16,17,18,19,20,21,22,23,24,25,26,27,28,29,30,31"</formula1>
    </dataValidation>
    <dataValidation type="list" allowBlank="1" showInputMessage="1" showErrorMessage="1" error="試算したい方の生年月日を必ず二桁で入力してください。_x000a_（1～9は「01」のように入力してください。）" sqref="C13:C19" xr:uid="{00000000-0002-0000-0000-000008000000}">
      <formula1>"01, 02, 03, 04, 05, 06, 07, 08, 09, 10, 11, 12, 13, 14, 15, 16, 17, 18, 19, 20, 21, 22, 23, 24, 25, 26, 27, 28, 29, 30, 31, 32, 33, 34, 35, 36, 37, 38, 39, 40, 41, 42, 43, 44, 45, 46, 47, 48, 49, 50, 51, 52, 53, 54, 55, 56, 57, 58, 59, 60, 61, 62, 63, 64"</formula1>
    </dataValidation>
    <dataValidation type="list" allowBlank="1" showInputMessage="1" showErrorMessage="1" sqref="H13:H19" xr:uid="{00000000-0002-0000-0000-000009000000}">
      <formula1>"有,無"</formula1>
    </dataValidation>
  </dataValidations>
  <hyperlinks>
    <hyperlink ref="B34" r:id="rId1" xr:uid="{F029B438-3B95-45A2-A707-3D70CD7AED95}"/>
    <hyperlink ref="B31:L31" r:id="rId2" display="https://www.city.fukushima.fukushima.jp/kokuho-shikaku/kurashi/kokuho/hokenkyufu/sedo/gennmenn/syotoku.html" xr:uid="{45E35DB0-078C-4095-B4EA-01B0617B65DC}"/>
  </hyperlinks>
  <printOptions horizontalCentered="1" verticalCentered="1"/>
  <pageMargins left="0.70866141732283472" right="0.59055118110236227" top="0.74803149606299213" bottom="0.27559055118110237" header="0.31496062992125984" footer="0.31496062992125984"/>
  <pageSetup paperSize="9" scale="66" orientation="landscape" r:id="rId3"/>
  <rowBreaks count="1" manualBreakCount="1">
    <brk id="9" max="23" man="1"/>
  </rowBreak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AS153"/>
  <sheetViews>
    <sheetView topLeftCell="A103" zoomScale="70" zoomScaleNormal="70" workbookViewId="0">
      <selection activeCell="U129" sqref="U129"/>
    </sheetView>
  </sheetViews>
  <sheetFormatPr defaultRowHeight="13.5"/>
  <cols>
    <col min="1" max="1" width="2.25" customWidth="1"/>
    <col min="3" max="3" width="3.25" customWidth="1"/>
    <col min="8" max="8" width="2.625" customWidth="1"/>
    <col min="11" max="11" width="2.875" customWidth="1"/>
    <col min="18" max="18" width="13.25" customWidth="1"/>
    <col min="19" max="19" width="2.625" customWidth="1"/>
    <col min="24" max="24" width="3.625" customWidth="1"/>
    <col min="25" max="25" width="3.75" customWidth="1"/>
    <col min="30" max="30" width="13.75" bestFit="1" customWidth="1"/>
    <col min="31" max="31" width="9" customWidth="1"/>
    <col min="32" max="32" width="3.25" customWidth="1"/>
    <col min="33" max="33" width="9.125" customWidth="1"/>
    <col min="34" max="34" width="3.25" customWidth="1"/>
    <col min="35" max="35" width="9.125" customWidth="1"/>
    <col min="36" max="36" width="3.25" customWidth="1"/>
    <col min="37" max="37" width="2.125" customWidth="1"/>
    <col min="38" max="38" width="1.125" customWidth="1"/>
  </cols>
  <sheetData>
    <row r="1" spans="2:37">
      <c r="B1" s="1" t="s">
        <v>20</v>
      </c>
      <c r="Q1" s="12"/>
      <c r="R1" s="12"/>
      <c r="S1" s="12"/>
      <c r="T1" s="12"/>
      <c r="U1" s="12"/>
      <c r="V1" s="12"/>
      <c r="W1" s="12"/>
      <c r="X1" s="12"/>
      <c r="Y1" s="12"/>
      <c r="Z1" s="12"/>
    </row>
    <row r="2" spans="2:37" ht="24">
      <c r="B2" s="1" t="s">
        <v>45</v>
      </c>
      <c r="Q2" s="12"/>
      <c r="R2" s="17" t="s">
        <v>86</v>
      </c>
      <c r="S2" s="12"/>
      <c r="T2" s="12"/>
      <c r="U2" s="12"/>
      <c r="V2" s="12"/>
      <c r="W2" s="12"/>
      <c r="X2" s="12"/>
      <c r="Y2" s="12"/>
      <c r="Z2" s="12"/>
      <c r="AC2" s="12"/>
      <c r="AD2" s="12"/>
      <c r="AE2" s="12"/>
      <c r="AF2" s="12"/>
      <c r="AG2" s="12"/>
      <c r="AH2" s="12"/>
      <c r="AI2" s="12"/>
      <c r="AJ2" s="12"/>
      <c r="AK2" s="12"/>
    </row>
    <row r="3" spans="2:37" ht="21.75" thickBot="1">
      <c r="B3" s="1" t="s">
        <v>34</v>
      </c>
      <c r="C3" s="3"/>
      <c r="D3" s="3"/>
      <c r="E3" s="3"/>
      <c r="F3" s="3"/>
      <c r="G3" s="3"/>
      <c r="H3" s="3"/>
      <c r="I3" s="3"/>
      <c r="J3" s="3"/>
      <c r="Q3" s="12"/>
      <c r="R3" s="12"/>
      <c r="S3" s="12"/>
      <c r="T3" s="12"/>
      <c r="U3" s="12"/>
      <c r="V3" s="12"/>
      <c r="W3" s="12"/>
      <c r="X3" s="12"/>
      <c r="Y3" s="12"/>
      <c r="Z3" s="12"/>
      <c r="AC3" s="12"/>
      <c r="AD3" s="12"/>
      <c r="AE3" s="12"/>
      <c r="AF3" s="12"/>
      <c r="AG3" s="12"/>
      <c r="AH3" s="12"/>
      <c r="AI3" s="12"/>
      <c r="AJ3" s="12"/>
      <c r="AK3" s="12"/>
    </row>
    <row r="4" spans="2:37" ht="21.75" thickBot="1">
      <c r="B4" s="1" t="s">
        <v>31</v>
      </c>
      <c r="C4" s="3"/>
      <c r="D4" s="3"/>
      <c r="E4" s="3"/>
      <c r="F4" s="3"/>
      <c r="G4" s="3"/>
      <c r="H4" s="3"/>
      <c r="I4" s="3"/>
      <c r="J4" s="3"/>
      <c r="AC4" s="12"/>
      <c r="AD4" s="21" t="s">
        <v>72</v>
      </c>
      <c r="AE4" s="408" t="s">
        <v>14</v>
      </c>
      <c r="AF4" s="409"/>
      <c r="AG4" s="409" t="s">
        <v>15</v>
      </c>
      <c r="AH4" s="409"/>
      <c r="AI4" s="409" t="s">
        <v>16</v>
      </c>
      <c r="AJ4" s="410"/>
      <c r="AK4" s="12"/>
    </row>
    <row r="5" spans="2:37">
      <c r="B5" s="1" t="s">
        <v>32</v>
      </c>
      <c r="AC5" s="12"/>
      <c r="AD5" s="415" t="s">
        <v>73</v>
      </c>
      <c r="AE5" s="416" t="s">
        <v>74</v>
      </c>
      <c r="AF5" s="418" t="s">
        <v>75</v>
      </c>
      <c r="AG5" s="411" t="s">
        <v>76</v>
      </c>
      <c r="AH5" s="418" t="s">
        <v>75</v>
      </c>
      <c r="AI5" s="411" t="s">
        <v>77</v>
      </c>
      <c r="AJ5" s="413" t="s">
        <v>75</v>
      </c>
      <c r="AK5" s="12"/>
    </row>
    <row r="6" spans="2:37">
      <c r="B6" s="1" t="s">
        <v>33</v>
      </c>
      <c r="AC6" s="12"/>
      <c r="AD6" s="385"/>
      <c r="AE6" s="416"/>
      <c r="AF6" s="418"/>
      <c r="AG6" s="411"/>
      <c r="AH6" s="418"/>
      <c r="AI6" s="411"/>
      <c r="AJ6" s="413"/>
      <c r="AK6" s="12"/>
    </row>
    <row r="7" spans="2:37">
      <c r="AC7" s="12"/>
      <c r="AD7" s="385"/>
      <c r="AE7" s="417"/>
      <c r="AF7" s="419"/>
      <c r="AG7" s="412"/>
      <c r="AH7" s="419"/>
      <c r="AI7" s="412"/>
      <c r="AJ7" s="414"/>
      <c r="AK7" s="12"/>
    </row>
    <row r="8" spans="2:37" ht="14.25" customHeight="1">
      <c r="AC8" s="12"/>
      <c r="AD8" s="385" t="s">
        <v>78</v>
      </c>
      <c r="AE8" s="396">
        <v>17800</v>
      </c>
      <c r="AF8" s="390" t="s">
        <v>79</v>
      </c>
      <c r="AG8" s="393">
        <v>6000</v>
      </c>
      <c r="AH8" s="401" t="s">
        <v>79</v>
      </c>
      <c r="AI8" s="393">
        <v>7800</v>
      </c>
      <c r="AJ8" s="404" t="s">
        <v>79</v>
      </c>
      <c r="AK8" s="12"/>
    </row>
    <row r="9" spans="2:37" ht="13.5" customHeight="1">
      <c r="AC9" s="12"/>
      <c r="AD9" s="386"/>
      <c r="AE9" s="397"/>
      <c r="AF9" s="391"/>
      <c r="AG9" s="394"/>
      <c r="AH9" s="402"/>
      <c r="AI9" s="394"/>
      <c r="AJ9" s="405"/>
      <c r="AK9" s="12"/>
    </row>
    <row r="10" spans="2:37">
      <c r="AC10" s="12"/>
      <c r="AD10" s="22" t="s">
        <v>80</v>
      </c>
      <c r="AE10" s="398"/>
      <c r="AF10" s="399"/>
      <c r="AG10" s="400"/>
      <c r="AH10" s="403"/>
      <c r="AI10" s="400"/>
      <c r="AJ10" s="407"/>
      <c r="AK10" s="12"/>
    </row>
    <row r="11" spans="2:37" ht="14.25" customHeight="1">
      <c r="C11" s="8"/>
      <c r="I11" s="1"/>
      <c r="AC11" s="12"/>
      <c r="AD11" s="385" t="s">
        <v>81</v>
      </c>
      <c r="AE11" s="387">
        <v>19700</v>
      </c>
      <c r="AF11" s="390" t="s">
        <v>79</v>
      </c>
      <c r="AG11" s="393">
        <v>6600</v>
      </c>
      <c r="AH11" s="390" t="s">
        <v>79</v>
      </c>
      <c r="AI11" s="393">
        <v>5700</v>
      </c>
      <c r="AJ11" s="404" t="s">
        <v>79</v>
      </c>
      <c r="AK11" s="12"/>
    </row>
    <row r="12" spans="2:37" ht="14.25" customHeight="1">
      <c r="H12" s="4"/>
      <c r="I12" s="1"/>
      <c r="AC12" s="12"/>
      <c r="AD12" s="386"/>
      <c r="AE12" s="388"/>
      <c r="AF12" s="391"/>
      <c r="AG12" s="394"/>
      <c r="AH12" s="391"/>
      <c r="AI12" s="394"/>
      <c r="AJ12" s="405"/>
      <c r="AK12" s="12"/>
    </row>
    <row r="13" spans="2:37" ht="14.25" thickBot="1">
      <c r="B13" s="1"/>
      <c r="I13" s="1"/>
      <c r="AC13" s="12"/>
      <c r="AD13" s="23" t="s">
        <v>82</v>
      </c>
      <c r="AE13" s="389"/>
      <c r="AF13" s="392"/>
      <c r="AG13" s="395"/>
      <c r="AH13" s="392"/>
      <c r="AI13" s="395"/>
      <c r="AJ13" s="406"/>
      <c r="AK13" s="12"/>
    </row>
    <row r="14" spans="2:37">
      <c r="B14" s="1"/>
      <c r="I14" s="1"/>
    </row>
    <row r="15" spans="2:37">
      <c r="B15" s="1"/>
    </row>
    <row r="16" spans="2:37" ht="21">
      <c r="B16" s="1"/>
      <c r="C16" s="5"/>
      <c r="D16" s="5"/>
      <c r="E16" s="5"/>
      <c r="F16" s="5"/>
      <c r="G16" s="5"/>
      <c r="H16" s="5"/>
      <c r="I16" s="5"/>
      <c r="J16" s="5"/>
      <c r="L16" s="2"/>
    </row>
    <row r="17" spans="2:45">
      <c r="B17" s="10"/>
      <c r="E17" s="9"/>
      <c r="F17" s="8"/>
      <c r="H17" s="1"/>
      <c r="I17" s="6"/>
      <c r="J17" s="6"/>
      <c r="K17" s="1"/>
      <c r="L17" s="1"/>
      <c r="M17" s="1"/>
      <c r="N17" s="1"/>
    </row>
    <row r="18" spans="2:45">
      <c r="B18" s="1"/>
      <c r="C18" s="1"/>
      <c r="D18" s="1"/>
      <c r="E18" s="1"/>
      <c r="H18" s="1"/>
      <c r="K18" s="1"/>
      <c r="L18" s="1"/>
      <c r="M18" s="1"/>
      <c r="N18" s="1"/>
    </row>
    <row r="19" spans="2:45">
      <c r="B19" s="1"/>
      <c r="C19" s="1"/>
      <c r="D19" s="1"/>
      <c r="E19" s="1"/>
      <c r="H19" s="1"/>
      <c r="K19" s="1"/>
      <c r="L19" s="1"/>
      <c r="M19" s="1"/>
      <c r="N19" s="1"/>
      <c r="P19" s="7"/>
    </row>
    <row r="20" spans="2:45">
      <c r="B20" s="1"/>
      <c r="C20" s="1"/>
      <c r="D20" s="1"/>
      <c r="E20" s="1"/>
      <c r="K20" s="1"/>
      <c r="L20" s="1"/>
      <c r="M20" s="1"/>
      <c r="N20" s="1"/>
      <c r="P20" s="7"/>
    </row>
    <row r="21" spans="2:45">
      <c r="E21" s="1"/>
      <c r="N21" s="1"/>
    </row>
    <row r="22" spans="2:45" ht="13.5" customHeight="1">
      <c r="P22" s="7"/>
    </row>
    <row r="23" spans="2:45" ht="13.5" customHeight="1">
      <c r="P23" s="7"/>
    </row>
    <row r="24" spans="2:45" ht="13.5" customHeight="1">
      <c r="AK24" s="12"/>
      <c r="AL24" s="12"/>
      <c r="AM24" s="12"/>
      <c r="AN24" s="12"/>
      <c r="AO24" s="12"/>
      <c r="AP24" s="12"/>
      <c r="AQ24" s="12"/>
      <c r="AR24" s="12"/>
      <c r="AS24" s="12"/>
    </row>
    <row r="26" spans="2:45" ht="13.5" customHeight="1">
      <c r="R26" s="16" t="s">
        <v>44</v>
      </c>
      <c r="S26" s="16"/>
      <c r="T26" s="16"/>
      <c r="U26" s="16"/>
      <c r="V26" s="16"/>
      <c r="W26" s="16"/>
      <c r="X26" s="16"/>
    </row>
    <row r="28" spans="2:45" ht="6.75" customHeight="1"/>
    <row r="29" spans="2:45" ht="6.75" customHeight="1"/>
    <row r="30" spans="2:45" ht="6.75" customHeight="1"/>
    <row r="31" spans="2:45" ht="6.75" customHeight="1"/>
    <row r="32" spans="2:45" ht="6.75" customHeight="1"/>
    <row r="33" spans="9:23" ht="6" customHeight="1"/>
    <row r="36" spans="9:23">
      <c r="I36" s="12"/>
      <c r="J36" s="12"/>
      <c r="K36" s="12"/>
      <c r="L36" s="12"/>
      <c r="M36" s="12"/>
      <c r="N36" s="12"/>
      <c r="O36" s="12"/>
      <c r="P36" s="12"/>
      <c r="Q36" s="12"/>
    </row>
    <row r="37" spans="9:23">
      <c r="I37" s="12"/>
      <c r="J37" s="12"/>
      <c r="K37" s="12"/>
      <c r="L37" s="12"/>
      <c r="M37" s="12"/>
      <c r="N37" s="12"/>
      <c r="O37" s="12"/>
      <c r="P37" s="12"/>
      <c r="Q37" s="12"/>
      <c r="R37" s="12"/>
      <c r="S37" s="12"/>
      <c r="T37" s="12"/>
      <c r="U37" s="12"/>
      <c r="V37" s="12"/>
      <c r="W37" s="12"/>
    </row>
    <row r="38" spans="9:23">
      <c r="I38" s="12"/>
      <c r="J38" s="12"/>
      <c r="K38" s="12"/>
      <c r="L38" s="12"/>
      <c r="M38" s="12"/>
      <c r="N38" s="12"/>
      <c r="O38" s="12"/>
      <c r="P38" s="12"/>
      <c r="Q38" s="12"/>
      <c r="R38" s="12"/>
      <c r="S38" s="12"/>
      <c r="T38" s="12"/>
      <c r="U38" s="12"/>
      <c r="V38" s="12"/>
      <c r="W38" s="12"/>
    </row>
    <row r="39" spans="9:23">
      <c r="I39" s="12"/>
      <c r="J39" s="12"/>
      <c r="K39" s="12"/>
      <c r="L39" s="12"/>
      <c r="M39" s="12"/>
      <c r="N39" s="12"/>
      <c r="O39" s="12"/>
      <c r="P39" s="12"/>
      <c r="Q39" s="12"/>
      <c r="R39" s="12"/>
      <c r="S39" s="12"/>
      <c r="T39" s="12"/>
      <c r="U39" s="12"/>
      <c r="V39" s="12"/>
      <c r="W39" s="12"/>
    </row>
    <row r="40" spans="9:23">
      <c r="I40" s="12"/>
      <c r="J40" s="12"/>
      <c r="K40" s="12"/>
      <c r="L40" s="12"/>
      <c r="M40" s="12"/>
      <c r="N40" s="12"/>
      <c r="O40" s="12"/>
      <c r="P40" s="12"/>
      <c r="Q40" s="12"/>
      <c r="R40" s="12"/>
      <c r="S40" s="12"/>
      <c r="T40" s="12"/>
      <c r="U40" s="12"/>
      <c r="V40" s="12"/>
      <c r="W40" s="12"/>
    </row>
    <row r="41" spans="9:23">
      <c r="I41" s="12"/>
      <c r="J41" s="12"/>
      <c r="K41" s="12"/>
      <c r="L41" s="12"/>
      <c r="M41" s="12"/>
      <c r="N41" s="12"/>
      <c r="O41" s="12"/>
      <c r="P41" s="12"/>
      <c r="Q41" s="12"/>
      <c r="R41" s="12"/>
      <c r="S41" s="12"/>
      <c r="T41" s="12"/>
      <c r="U41" s="12"/>
      <c r="V41" s="12"/>
      <c r="W41" s="12"/>
    </row>
    <row r="42" spans="9:23">
      <c r="I42" s="12"/>
      <c r="J42" s="12"/>
      <c r="K42" s="12"/>
      <c r="L42" s="12"/>
      <c r="M42" s="12"/>
      <c r="N42" s="12"/>
      <c r="O42" s="12"/>
      <c r="P42" s="12"/>
      <c r="Q42" s="12"/>
      <c r="R42" s="12"/>
      <c r="S42" s="12"/>
      <c r="T42" s="12"/>
      <c r="U42" s="12"/>
      <c r="V42" s="12"/>
      <c r="W42" s="12"/>
    </row>
    <row r="43" spans="9:23">
      <c r="I43" s="12"/>
      <c r="J43" s="12"/>
      <c r="K43" s="12"/>
      <c r="L43" s="12"/>
      <c r="M43" s="12"/>
      <c r="N43" s="12"/>
      <c r="O43" s="12"/>
      <c r="P43" s="12"/>
      <c r="Q43" s="12"/>
      <c r="R43" s="12"/>
      <c r="S43" s="12"/>
      <c r="T43" s="12"/>
      <c r="U43" s="12"/>
      <c r="V43" s="12"/>
      <c r="W43" s="12"/>
    </row>
    <row r="44" spans="9:23">
      <c r="I44" s="12"/>
      <c r="J44" s="12"/>
      <c r="K44" s="12"/>
      <c r="L44" s="12"/>
      <c r="M44" s="12"/>
      <c r="N44" s="12"/>
      <c r="O44" s="12"/>
      <c r="P44" s="12"/>
      <c r="Q44" s="12"/>
      <c r="R44" s="12"/>
      <c r="S44" s="12"/>
      <c r="T44" s="12"/>
      <c r="U44" s="12"/>
      <c r="V44" s="12"/>
      <c r="W44" s="12"/>
    </row>
    <row r="45" spans="9:23">
      <c r="I45" s="12"/>
      <c r="J45" s="12"/>
      <c r="K45" s="12"/>
      <c r="L45" s="12"/>
      <c r="M45" s="12"/>
      <c r="N45" s="12"/>
      <c r="O45" s="12"/>
      <c r="P45" s="12"/>
      <c r="Q45" s="12"/>
      <c r="R45" s="12"/>
      <c r="S45" s="12"/>
      <c r="T45" s="12"/>
      <c r="U45" s="12"/>
      <c r="V45" s="12"/>
      <c r="W45" s="12"/>
    </row>
    <row r="46" spans="9:23">
      <c r="I46" s="12"/>
      <c r="J46" s="12"/>
      <c r="K46" s="12"/>
      <c r="L46" s="12"/>
      <c r="M46" s="12"/>
      <c r="N46" s="12"/>
      <c r="O46" s="12"/>
      <c r="P46" s="12"/>
      <c r="Q46" s="12"/>
      <c r="R46" s="12"/>
      <c r="S46" s="12"/>
      <c r="T46" s="12"/>
      <c r="U46" s="12"/>
      <c r="V46" s="12"/>
      <c r="W46" s="12"/>
    </row>
    <row r="47" spans="9:23">
      <c r="I47" s="12"/>
      <c r="J47" s="12"/>
      <c r="K47" s="12"/>
      <c r="L47" s="12"/>
      <c r="M47" s="12"/>
      <c r="N47" s="12"/>
      <c r="O47" s="12"/>
      <c r="P47" s="12"/>
      <c r="Q47" s="12"/>
      <c r="R47" s="12"/>
      <c r="S47" s="12"/>
      <c r="T47" s="12"/>
      <c r="U47" s="12"/>
      <c r="V47" s="12"/>
      <c r="W47" s="12"/>
    </row>
    <row r="48" spans="9:23">
      <c r="I48" s="12"/>
      <c r="J48" s="12"/>
      <c r="K48" s="12"/>
      <c r="L48" s="12"/>
      <c r="M48" s="12"/>
      <c r="N48" s="12"/>
      <c r="O48" s="12"/>
      <c r="P48" s="12"/>
      <c r="Q48" s="12"/>
      <c r="R48" s="12"/>
      <c r="S48" s="12"/>
      <c r="T48" s="12"/>
      <c r="U48" s="12"/>
      <c r="V48" s="12"/>
      <c r="W48" s="12"/>
    </row>
    <row r="49" spans="3:26">
      <c r="I49" s="12"/>
      <c r="J49" s="12"/>
      <c r="K49" s="12"/>
      <c r="L49" s="12"/>
      <c r="M49" s="12"/>
      <c r="N49" s="12"/>
      <c r="O49" s="12"/>
      <c r="P49" s="12"/>
      <c r="Q49" s="12"/>
      <c r="R49" s="12"/>
      <c r="S49" s="12"/>
      <c r="T49" s="12"/>
      <c r="U49" s="12"/>
      <c r="V49" s="12"/>
      <c r="W49" s="12"/>
    </row>
    <row r="50" spans="3:26">
      <c r="I50" s="12"/>
      <c r="J50" s="12"/>
      <c r="K50" s="12"/>
      <c r="L50" s="12"/>
      <c r="M50" s="12"/>
      <c r="N50" s="12"/>
      <c r="O50" s="12"/>
      <c r="P50" s="12"/>
      <c r="Q50" s="12"/>
      <c r="R50" s="12"/>
      <c r="S50" s="12"/>
      <c r="T50" s="12"/>
      <c r="U50" s="12"/>
      <c r="V50" s="12"/>
      <c r="W50" s="12"/>
    </row>
    <row r="51" spans="3:26">
      <c r="I51" s="12"/>
      <c r="J51" s="12"/>
      <c r="K51" s="12"/>
      <c r="L51" s="12"/>
      <c r="M51" s="12"/>
      <c r="N51" s="12"/>
      <c r="O51" s="12"/>
      <c r="P51" s="12"/>
      <c r="Q51" s="12"/>
      <c r="R51" s="12"/>
      <c r="S51" s="12"/>
      <c r="T51" s="12"/>
      <c r="U51" s="12"/>
      <c r="V51" s="12"/>
      <c r="W51" s="12"/>
    </row>
    <row r="52" spans="3:26">
      <c r="C52" s="12"/>
      <c r="D52" s="12"/>
      <c r="E52" s="12"/>
      <c r="F52" s="12"/>
      <c r="I52" s="12"/>
      <c r="J52" s="12"/>
      <c r="K52" s="12"/>
      <c r="L52" s="12"/>
      <c r="M52" s="12"/>
      <c r="N52" s="12"/>
      <c r="O52" s="12"/>
      <c r="P52" s="12"/>
      <c r="Q52" s="12"/>
    </row>
    <row r="53" spans="3:26">
      <c r="C53" s="18"/>
      <c r="D53" s="11"/>
      <c r="E53" s="11"/>
      <c r="F53" s="11"/>
      <c r="I53" s="12"/>
      <c r="J53" s="12"/>
      <c r="K53" s="12"/>
      <c r="L53" s="12"/>
      <c r="M53" s="12"/>
      <c r="N53" s="12"/>
      <c r="O53" s="12"/>
      <c r="P53" s="12"/>
      <c r="Q53" s="12"/>
    </row>
    <row r="54" spans="3:26" ht="6.75" customHeight="1">
      <c r="C54" s="12"/>
      <c r="D54" s="12"/>
      <c r="E54" s="12"/>
      <c r="F54" s="12"/>
      <c r="I54" s="12"/>
      <c r="J54" s="12"/>
      <c r="K54" s="12"/>
      <c r="L54" s="12"/>
      <c r="M54" s="12"/>
      <c r="N54" s="12"/>
      <c r="O54" s="12"/>
      <c r="P54" s="12"/>
      <c r="Q54" s="12"/>
      <c r="T54" s="12"/>
    </row>
    <row r="55" spans="3:26">
      <c r="I55" s="12"/>
      <c r="J55" s="12"/>
      <c r="K55" s="12"/>
      <c r="L55" s="12"/>
      <c r="M55" s="12"/>
      <c r="N55" s="12"/>
      <c r="O55" s="12"/>
      <c r="P55" s="12"/>
      <c r="Q55" s="12"/>
      <c r="T55" s="12"/>
    </row>
    <row r="56" spans="3:26">
      <c r="I56" s="12"/>
      <c r="J56" s="12"/>
      <c r="K56" s="12"/>
      <c r="L56" s="12"/>
      <c r="M56" s="12"/>
      <c r="N56" s="12"/>
      <c r="O56" s="12"/>
      <c r="P56" s="12"/>
      <c r="Q56" s="12"/>
      <c r="T56" s="12"/>
    </row>
    <row r="57" spans="3:26">
      <c r="I57" s="12"/>
      <c r="J57" s="12"/>
      <c r="K57" s="12"/>
      <c r="L57" s="12"/>
      <c r="M57" s="12"/>
      <c r="N57" s="12"/>
      <c r="O57" s="12"/>
      <c r="P57" s="12"/>
      <c r="Q57" s="12"/>
      <c r="T57" s="12"/>
    </row>
    <row r="58" spans="3:26">
      <c r="J58" s="12"/>
      <c r="K58" s="12"/>
      <c r="L58" s="12"/>
      <c r="M58" s="12"/>
      <c r="N58" s="12"/>
      <c r="O58" s="12"/>
      <c r="P58" s="12"/>
      <c r="Q58" s="12"/>
      <c r="R58" s="12"/>
      <c r="T58" s="12"/>
    </row>
    <row r="59" spans="3:26" ht="21">
      <c r="J59" s="12"/>
      <c r="K59" s="13" t="s">
        <v>43</v>
      </c>
      <c r="L59" s="12"/>
      <c r="M59" s="12"/>
      <c r="N59" s="12"/>
      <c r="O59" s="12"/>
      <c r="P59" s="12"/>
      <c r="Q59" s="12"/>
      <c r="R59" s="12"/>
      <c r="S59" s="12"/>
      <c r="T59" s="12"/>
    </row>
    <row r="60" spans="3:26">
      <c r="J60" s="12"/>
      <c r="K60" s="12"/>
      <c r="L60" s="12"/>
      <c r="M60" s="12"/>
      <c r="N60" s="12"/>
      <c r="O60" s="12"/>
      <c r="P60" s="12"/>
      <c r="Q60" s="12"/>
      <c r="R60" s="12"/>
      <c r="S60" s="12"/>
      <c r="T60" s="12"/>
    </row>
    <row r="61" spans="3:26">
      <c r="J61" s="12"/>
      <c r="K61" s="14" t="s">
        <v>46</v>
      </c>
      <c r="L61" s="12"/>
      <c r="M61" s="12"/>
      <c r="N61" s="12"/>
      <c r="O61" s="12"/>
      <c r="P61" s="12"/>
      <c r="Q61" s="12"/>
      <c r="R61" s="12"/>
      <c r="S61" s="12"/>
      <c r="T61" s="12"/>
    </row>
    <row r="62" spans="3:26">
      <c r="J62" s="12"/>
      <c r="K62" s="12"/>
      <c r="L62" s="12"/>
      <c r="M62" s="12"/>
      <c r="N62" s="12"/>
      <c r="O62" s="12"/>
      <c r="P62" s="12"/>
      <c r="Q62" s="12"/>
      <c r="R62" s="12"/>
      <c r="S62" s="12"/>
      <c r="T62" s="12"/>
    </row>
    <row r="63" spans="3:26">
      <c r="J63" s="12"/>
      <c r="K63" s="12"/>
      <c r="L63" s="12"/>
      <c r="M63" s="12"/>
      <c r="N63" s="12"/>
      <c r="O63" s="12"/>
      <c r="P63" s="12"/>
      <c r="Q63" s="12"/>
      <c r="R63" s="12"/>
      <c r="S63" s="12"/>
      <c r="T63" s="12"/>
      <c r="U63" s="12"/>
      <c r="V63" s="12"/>
      <c r="W63" s="12"/>
      <c r="X63" s="12"/>
      <c r="Y63" s="12"/>
      <c r="Z63" s="12"/>
    </row>
    <row r="64" spans="3:26">
      <c r="J64" s="12"/>
      <c r="K64" s="12"/>
      <c r="L64" s="12"/>
      <c r="M64" s="12"/>
      <c r="N64" s="12"/>
      <c r="O64" s="12"/>
      <c r="P64" s="12"/>
      <c r="Q64" s="12"/>
      <c r="R64" s="12"/>
      <c r="S64" s="12"/>
      <c r="T64" s="12"/>
      <c r="U64" s="12"/>
      <c r="V64" s="12"/>
      <c r="W64" s="12"/>
      <c r="X64" s="12"/>
      <c r="Y64" s="12"/>
      <c r="Z64" s="12"/>
    </row>
    <row r="65" spans="4:26" ht="14.25">
      <c r="D65">
        <v>2</v>
      </c>
      <c r="J65" s="12"/>
      <c r="K65" s="15"/>
      <c r="L65" s="15"/>
      <c r="M65" s="15"/>
      <c r="N65" s="12"/>
      <c r="O65" s="12"/>
      <c r="P65" s="12"/>
      <c r="Q65" s="12"/>
      <c r="R65" s="12"/>
      <c r="S65" s="12"/>
      <c r="T65" s="12"/>
      <c r="U65" s="12"/>
      <c r="V65" s="12"/>
      <c r="W65" s="12"/>
      <c r="X65" s="12"/>
      <c r="Y65" s="12"/>
      <c r="Z65" s="12"/>
    </row>
    <row r="66" spans="4:26" ht="20.25" customHeight="1">
      <c r="J66" s="12"/>
      <c r="K66" s="15"/>
      <c r="L66" s="15"/>
      <c r="M66" s="15"/>
      <c r="N66" s="12"/>
      <c r="O66" s="12"/>
      <c r="P66" s="12"/>
      <c r="Q66" s="12"/>
      <c r="R66" s="12"/>
      <c r="S66" s="12"/>
      <c r="T66" s="12"/>
      <c r="U66" s="12"/>
      <c r="V66" s="12"/>
      <c r="W66" s="12"/>
      <c r="X66" s="12"/>
      <c r="Y66" s="12"/>
      <c r="Z66" s="12"/>
    </row>
    <row r="67" spans="4:26" ht="20.25" customHeight="1">
      <c r="J67" s="12"/>
      <c r="K67" s="12"/>
      <c r="L67" s="12"/>
      <c r="M67" s="12"/>
      <c r="N67" s="12"/>
      <c r="O67" s="12"/>
      <c r="P67" s="12"/>
      <c r="Q67" s="12"/>
      <c r="R67" s="12"/>
      <c r="S67" s="12"/>
      <c r="T67" s="12"/>
      <c r="U67" s="12"/>
      <c r="V67" s="12"/>
      <c r="W67" s="12"/>
      <c r="X67" s="12"/>
      <c r="Y67" s="12"/>
      <c r="Z67" s="12"/>
    </row>
    <row r="68" spans="4:26" ht="20.25" customHeight="1">
      <c r="J68" s="12"/>
      <c r="K68" s="12"/>
      <c r="L68" s="12"/>
      <c r="M68" s="12"/>
      <c r="N68" s="12"/>
      <c r="O68" s="12"/>
      <c r="P68" s="12"/>
      <c r="Q68" s="12"/>
      <c r="R68" s="12"/>
      <c r="S68" s="12"/>
      <c r="T68" s="12"/>
      <c r="U68" s="12"/>
      <c r="V68" s="12"/>
      <c r="W68" s="12"/>
      <c r="X68" s="12"/>
      <c r="Y68" s="12"/>
      <c r="Z68" s="12"/>
    </row>
    <row r="69" spans="4:26">
      <c r="J69" s="12"/>
      <c r="K69" s="12"/>
      <c r="L69" s="12"/>
      <c r="M69" s="12"/>
      <c r="N69" s="12"/>
      <c r="O69" s="12"/>
      <c r="P69" s="12"/>
      <c r="Q69" s="12"/>
      <c r="R69" s="12"/>
      <c r="S69" s="12"/>
      <c r="T69" s="12"/>
      <c r="U69" s="12"/>
      <c r="V69" s="12"/>
      <c r="W69" s="12"/>
      <c r="X69" s="12"/>
      <c r="Y69" s="12"/>
      <c r="Z69" s="12"/>
    </row>
    <row r="70" spans="4:26">
      <c r="J70" s="12"/>
      <c r="K70" s="12"/>
      <c r="L70" s="12"/>
      <c r="M70" s="12"/>
      <c r="N70" s="12"/>
      <c r="O70" s="12"/>
      <c r="P70" s="12"/>
      <c r="Q70" s="12"/>
      <c r="R70" s="12"/>
      <c r="S70" s="12"/>
      <c r="T70" s="12"/>
      <c r="U70" s="12"/>
      <c r="V70" s="12"/>
      <c r="W70" s="12"/>
      <c r="X70" s="12"/>
      <c r="Y70" s="12"/>
      <c r="Z70" s="12"/>
    </row>
    <row r="71" spans="4:26">
      <c r="J71" s="12"/>
      <c r="K71" s="12"/>
      <c r="L71" s="12"/>
      <c r="M71" s="12"/>
      <c r="N71" s="12"/>
      <c r="O71" s="12"/>
      <c r="P71" s="12"/>
      <c r="Q71" s="12"/>
      <c r="R71" s="12"/>
      <c r="S71" s="12"/>
      <c r="T71" s="12"/>
      <c r="U71" s="12"/>
      <c r="V71" s="12"/>
      <c r="W71" s="12"/>
      <c r="X71" s="12"/>
      <c r="Y71" s="12"/>
      <c r="Z71" s="12"/>
    </row>
    <row r="72" spans="4:26">
      <c r="J72" s="12"/>
      <c r="K72" s="12"/>
      <c r="L72" s="12"/>
      <c r="M72" s="12"/>
      <c r="N72" s="12"/>
      <c r="O72" s="12"/>
      <c r="P72" s="12"/>
      <c r="Q72" s="12"/>
      <c r="R72" s="12"/>
      <c r="S72" s="12"/>
      <c r="T72" s="12"/>
      <c r="U72" s="12"/>
      <c r="V72" s="12"/>
      <c r="W72" s="12"/>
      <c r="X72" s="12"/>
      <c r="Y72" s="12"/>
      <c r="Z72" s="12"/>
    </row>
    <row r="73" spans="4:26">
      <c r="J73" s="12"/>
      <c r="K73" s="12"/>
      <c r="L73" s="12"/>
      <c r="M73" s="12"/>
      <c r="N73" s="12"/>
      <c r="O73" s="12"/>
      <c r="P73" s="12"/>
      <c r="Q73" s="12"/>
      <c r="R73" s="12"/>
      <c r="S73" s="12"/>
      <c r="T73" s="12"/>
      <c r="U73" s="12"/>
      <c r="V73" s="12"/>
      <c r="W73" s="12"/>
      <c r="X73" s="12"/>
      <c r="Y73" s="12"/>
      <c r="Z73" s="12"/>
    </row>
    <row r="74" spans="4:26">
      <c r="J74" s="12"/>
      <c r="K74" s="12"/>
      <c r="L74" s="12"/>
      <c r="M74" s="12"/>
      <c r="N74" s="12"/>
      <c r="O74" s="12"/>
      <c r="P74" s="12"/>
      <c r="Q74" s="12"/>
      <c r="R74" s="12"/>
      <c r="S74" s="12"/>
      <c r="T74" s="12"/>
      <c r="U74" s="12"/>
      <c r="V74" s="12"/>
      <c r="W74" s="12"/>
      <c r="X74" s="12"/>
      <c r="Y74" s="12"/>
      <c r="Z74" s="12"/>
    </row>
    <row r="75" spans="4:26">
      <c r="J75" s="12"/>
      <c r="K75" s="12"/>
      <c r="L75" s="12"/>
      <c r="M75" s="12"/>
      <c r="N75" s="12"/>
      <c r="O75" s="12"/>
      <c r="P75" s="12"/>
      <c r="Q75" s="12"/>
      <c r="R75" s="12"/>
      <c r="S75" s="12"/>
      <c r="T75" s="12"/>
      <c r="U75" s="12"/>
      <c r="V75" s="12"/>
      <c r="W75" s="12"/>
      <c r="X75" s="12"/>
      <c r="Y75" s="12"/>
      <c r="Z75" s="12"/>
    </row>
    <row r="76" spans="4:26">
      <c r="J76" s="12"/>
      <c r="K76" s="12"/>
      <c r="L76" s="12"/>
      <c r="M76" s="12"/>
      <c r="N76" s="12"/>
      <c r="O76" s="12"/>
      <c r="P76" s="12"/>
      <c r="Q76" s="12"/>
      <c r="R76" s="12"/>
      <c r="S76" s="12"/>
      <c r="T76" s="12"/>
      <c r="U76" s="12"/>
      <c r="V76" s="12"/>
      <c r="W76" s="12"/>
      <c r="X76" s="12"/>
      <c r="Y76" s="12"/>
      <c r="Z76" s="12"/>
    </row>
    <row r="77" spans="4:26">
      <c r="J77" s="12"/>
      <c r="K77" s="12"/>
      <c r="L77" s="12"/>
      <c r="M77" s="12"/>
      <c r="N77" s="12"/>
      <c r="O77" s="12"/>
      <c r="P77" s="12"/>
      <c r="Q77" s="12"/>
      <c r="R77" s="12"/>
      <c r="S77" s="12"/>
      <c r="T77" s="12"/>
      <c r="U77" s="12"/>
      <c r="V77" s="12"/>
      <c r="W77" s="12"/>
      <c r="X77" s="12"/>
      <c r="Y77" s="12"/>
      <c r="Z77" s="12"/>
    </row>
    <row r="78" spans="4:26">
      <c r="J78" s="12"/>
      <c r="K78" s="12"/>
      <c r="L78" s="12"/>
      <c r="M78" s="12"/>
      <c r="N78" s="12"/>
      <c r="O78" s="12"/>
      <c r="P78" s="12"/>
      <c r="Q78" s="12"/>
      <c r="R78" s="12"/>
      <c r="S78" s="12"/>
      <c r="T78" s="12"/>
      <c r="U78" s="12"/>
      <c r="V78" s="12"/>
      <c r="W78" s="12"/>
      <c r="X78" s="12"/>
      <c r="Y78" s="12"/>
      <c r="Z78" s="12"/>
    </row>
    <row r="79" spans="4:26" ht="17.25">
      <c r="J79" s="12"/>
      <c r="K79" s="12"/>
      <c r="L79" s="12"/>
      <c r="M79" s="12"/>
      <c r="N79" s="12"/>
      <c r="O79" s="12"/>
      <c r="P79" s="12"/>
      <c r="Q79" s="12"/>
      <c r="R79" s="12"/>
      <c r="S79" s="12"/>
      <c r="T79" s="19" t="s">
        <v>52</v>
      </c>
      <c r="U79" s="20"/>
      <c r="V79" s="20"/>
      <c r="W79" s="12"/>
      <c r="X79" s="12"/>
      <c r="Y79" s="12"/>
      <c r="Z79" s="12"/>
    </row>
    <row r="80" spans="4:26">
      <c r="J80" s="12"/>
      <c r="K80" s="12"/>
      <c r="L80" s="12"/>
      <c r="M80" s="12"/>
      <c r="N80" s="12"/>
      <c r="O80" s="12"/>
      <c r="P80" s="12"/>
      <c r="Q80" s="12"/>
      <c r="R80" s="12"/>
      <c r="S80" s="12"/>
      <c r="T80" s="12"/>
      <c r="U80" s="12"/>
      <c r="V80" s="12"/>
      <c r="W80" s="12"/>
      <c r="X80" s="12"/>
      <c r="Y80" s="12"/>
      <c r="Z80" s="12"/>
    </row>
    <row r="81" spans="10:27">
      <c r="J81" s="12"/>
      <c r="K81" s="12"/>
      <c r="L81" s="12"/>
      <c r="M81" s="12"/>
      <c r="N81" s="12"/>
      <c r="O81" s="12"/>
      <c r="P81" s="12"/>
      <c r="Q81" s="12"/>
      <c r="R81" s="12"/>
      <c r="S81" s="12"/>
      <c r="T81" s="12"/>
      <c r="U81" s="12"/>
      <c r="V81" s="12"/>
      <c r="W81" s="12"/>
      <c r="X81" s="12"/>
      <c r="Y81" s="12"/>
      <c r="Z81" s="12"/>
    </row>
    <row r="82" spans="10:27">
      <c r="J82" s="12"/>
      <c r="K82" s="12"/>
      <c r="L82" s="12"/>
      <c r="M82" s="12"/>
      <c r="N82" s="12"/>
      <c r="O82" s="12"/>
      <c r="P82" s="12"/>
      <c r="Q82" s="12"/>
      <c r="R82" s="12"/>
      <c r="S82" s="12"/>
      <c r="T82" s="12"/>
      <c r="U82" s="12"/>
      <c r="V82" s="12"/>
      <c r="W82" s="12"/>
      <c r="X82" s="12"/>
      <c r="Y82" s="12"/>
      <c r="Z82" s="12"/>
    </row>
    <row r="83" spans="10:27">
      <c r="J83" s="12"/>
      <c r="K83" s="12"/>
      <c r="L83" s="12"/>
      <c r="M83" s="12"/>
      <c r="N83" s="12"/>
      <c r="O83" s="12"/>
      <c r="P83" s="12"/>
      <c r="Q83" s="12"/>
      <c r="R83" s="12"/>
      <c r="S83" s="12"/>
      <c r="T83" s="12"/>
      <c r="U83" s="12"/>
      <c r="V83" s="12"/>
      <c r="W83" s="12"/>
      <c r="X83" s="12"/>
      <c r="Y83" s="12"/>
      <c r="Z83" s="12"/>
    </row>
    <row r="84" spans="10:27">
      <c r="J84" s="12"/>
      <c r="K84" s="12"/>
      <c r="L84" s="12"/>
      <c r="M84" s="12"/>
      <c r="N84" s="12"/>
      <c r="O84" s="12"/>
      <c r="P84" s="12"/>
      <c r="Q84" s="12"/>
      <c r="R84" s="12"/>
      <c r="S84" s="12"/>
      <c r="T84" s="12"/>
      <c r="U84" s="12"/>
      <c r="V84" s="12"/>
      <c r="W84" s="12"/>
      <c r="X84" s="12"/>
      <c r="Y84" s="12"/>
      <c r="Z84" s="12"/>
    </row>
    <row r="85" spans="10:27">
      <c r="J85" s="12"/>
      <c r="K85" s="12"/>
      <c r="L85" s="12"/>
      <c r="M85" s="12"/>
      <c r="N85" s="12"/>
      <c r="O85" s="12"/>
      <c r="P85" s="12"/>
      <c r="Q85" s="12"/>
      <c r="R85" s="12"/>
      <c r="S85" s="12"/>
      <c r="T85" s="12"/>
      <c r="U85" s="12"/>
      <c r="V85" s="12"/>
      <c r="W85" s="12"/>
      <c r="X85" s="12"/>
      <c r="Y85" s="12"/>
      <c r="Z85" s="12"/>
    </row>
    <row r="86" spans="10:27">
      <c r="J86" s="12"/>
      <c r="K86" s="12"/>
      <c r="L86" s="12"/>
      <c r="M86" s="12"/>
      <c r="N86" s="12"/>
      <c r="O86" s="12"/>
      <c r="P86" s="12"/>
      <c r="Q86" s="12"/>
      <c r="R86" s="12"/>
      <c r="S86" s="12"/>
      <c r="T86" s="12"/>
      <c r="U86" s="12"/>
      <c r="V86" s="12"/>
      <c r="W86" s="12"/>
      <c r="X86" s="12"/>
      <c r="Y86" s="12"/>
      <c r="Z86" s="12"/>
    </row>
    <row r="87" spans="10:27">
      <c r="J87" s="12"/>
      <c r="K87" s="12"/>
      <c r="L87" s="12"/>
      <c r="M87" s="12"/>
      <c r="N87" s="12"/>
      <c r="O87" s="12"/>
      <c r="P87" s="12"/>
      <c r="Q87" s="12"/>
      <c r="R87" s="12"/>
      <c r="S87" s="12"/>
      <c r="T87" s="12"/>
      <c r="U87" s="12"/>
      <c r="V87" s="12"/>
      <c r="W87" s="12"/>
      <c r="X87" s="12"/>
      <c r="Y87" s="12"/>
      <c r="Z87" s="12"/>
    </row>
    <row r="88" spans="10:27" ht="6" customHeight="1">
      <c r="J88" s="12"/>
      <c r="K88" s="12"/>
      <c r="L88" s="12"/>
      <c r="M88" s="12"/>
      <c r="N88" s="12"/>
      <c r="O88" s="12"/>
      <c r="P88" s="12"/>
      <c r="Q88" s="12"/>
      <c r="R88" s="12"/>
      <c r="S88" s="12"/>
      <c r="T88" s="12"/>
      <c r="U88" s="12"/>
      <c r="V88" s="12"/>
      <c r="W88" s="12"/>
      <c r="X88" s="12"/>
      <c r="Y88" s="12"/>
      <c r="Z88" s="12"/>
    </row>
    <row r="89" spans="10:27">
      <c r="J89" s="12"/>
      <c r="K89" s="12"/>
      <c r="L89" s="12"/>
      <c r="M89" s="12"/>
      <c r="N89" s="12"/>
      <c r="O89" s="12"/>
      <c r="P89" s="12"/>
      <c r="Q89" s="12"/>
      <c r="R89" s="12"/>
      <c r="S89" s="12"/>
      <c r="T89" s="12"/>
      <c r="U89" s="12"/>
      <c r="V89" s="12"/>
      <c r="W89" s="12"/>
      <c r="X89" s="12"/>
      <c r="Y89" s="12"/>
      <c r="Z89" s="12"/>
    </row>
    <row r="90" spans="10:27">
      <c r="J90" s="12"/>
      <c r="K90" s="12"/>
      <c r="L90" s="12"/>
      <c r="M90" s="12"/>
      <c r="N90" s="12"/>
      <c r="O90" s="12"/>
      <c r="P90" s="12"/>
      <c r="Q90" s="12"/>
      <c r="R90" s="12"/>
      <c r="S90" s="12"/>
      <c r="T90" s="12"/>
      <c r="U90" s="12" t="s">
        <v>84</v>
      </c>
      <c r="V90" s="12"/>
      <c r="W90" s="12"/>
      <c r="X90" s="12"/>
      <c r="Y90" s="12"/>
      <c r="Z90" s="12"/>
      <c r="AA90" s="12"/>
    </row>
    <row r="91" spans="10:27">
      <c r="J91" s="12"/>
      <c r="K91" s="12"/>
      <c r="L91" s="12"/>
      <c r="M91" s="12"/>
      <c r="N91" s="12"/>
      <c r="O91" s="12"/>
      <c r="P91" s="12"/>
      <c r="Q91" s="12"/>
      <c r="R91" s="12"/>
      <c r="S91" s="12"/>
      <c r="T91" s="12"/>
      <c r="U91" s="12"/>
      <c r="V91" s="12" t="s">
        <v>85</v>
      </c>
      <c r="W91" s="12"/>
      <c r="X91" s="12"/>
      <c r="Y91" s="12"/>
      <c r="Z91" s="12"/>
      <c r="AA91" s="12"/>
    </row>
    <row r="92" spans="10:27">
      <c r="J92" s="12"/>
      <c r="K92" s="12"/>
      <c r="L92" s="12"/>
      <c r="M92" s="12"/>
      <c r="N92" s="12"/>
      <c r="O92" s="12"/>
      <c r="P92" s="12"/>
      <c r="Q92" s="12"/>
      <c r="R92" s="12"/>
      <c r="S92" s="12"/>
      <c r="T92" s="12"/>
      <c r="U92" s="12"/>
      <c r="V92" s="12"/>
      <c r="W92" s="12"/>
      <c r="X92" s="12"/>
      <c r="Y92" s="12"/>
      <c r="Z92" s="12"/>
      <c r="AA92" s="12"/>
    </row>
    <row r="93" spans="10:27">
      <c r="J93" s="12"/>
      <c r="K93" s="12"/>
      <c r="L93" s="12"/>
      <c r="M93" s="12"/>
      <c r="N93" s="12"/>
      <c r="O93" s="12"/>
      <c r="P93" s="12"/>
      <c r="Q93" s="12"/>
      <c r="R93" s="12"/>
      <c r="S93" s="12"/>
      <c r="T93" s="12"/>
      <c r="U93" s="12"/>
      <c r="V93" s="12"/>
      <c r="W93" s="12"/>
      <c r="X93" s="12"/>
      <c r="Y93" s="12"/>
      <c r="Z93" s="12"/>
      <c r="AA93" s="12"/>
    </row>
    <row r="94" spans="10:27">
      <c r="J94" s="12"/>
      <c r="K94" s="12"/>
      <c r="L94" s="12"/>
      <c r="M94" s="12"/>
      <c r="N94" s="12"/>
      <c r="O94" s="12"/>
      <c r="P94" s="12"/>
      <c r="Q94" s="12"/>
      <c r="R94" s="12"/>
      <c r="S94" s="12"/>
      <c r="T94" s="12"/>
      <c r="U94" s="12"/>
      <c r="V94" s="12"/>
      <c r="W94" s="12"/>
      <c r="X94" s="12"/>
      <c r="Y94" s="12"/>
      <c r="Z94" s="12"/>
      <c r="AA94" s="12"/>
    </row>
    <row r="95" spans="10:27">
      <c r="J95" s="12"/>
      <c r="K95" s="12"/>
      <c r="L95" s="12"/>
      <c r="M95" s="12"/>
      <c r="N95" s="12"/>
      <c r="O95" s="12"/>
      <c r="P95" s="12"/>
      <c r="Q95" s="12"/>
      <c r="R95" s="12"/>
      <c r="S95" s="12"/>
      <c r="T95" s="12"/>
      <c r="U95" s="12"/>
      <c r="V95" s="12"/>
      <c r="W95" s="12"/>
      <c r="X95" s="12"/>
      <c r="Y95" s="12"/>
      <c r="Z95" s="12"/>
      <c r="AA95" s="12"/>
    </row>
    <row r="96" spans="10:27">
      <c r="J96" s="12"/>
      <c r="K96" s="12"/>
      <c r="L96" s="12"/>
      <c r="M96" s="12"/>
      <c r="N96" s="12"/>
      <c r="O96" s="12"/>
      <c r="P96" s="12"/>
      <c r="Q96" s="12"/>
      <c r="R96" s="12"/>
      <c r="S96" s="12"/>
      <c r="T96" s="12"/>
      <c r="U96" s="12"/>
      <c r="V96" s="12"/>
      <c r="W96" s="12"/>
      <c r="X96" s="12"/>
      <c r="Y96" s="12"/>
      <c r="Z96" s="12"/>
      <c r="AA96" s="12"/>
    </row>
    <row r="97" spans="10:27">
      <c r="J97" s="12"/>
      <c r="K97" s="12"/>
      <c r="L97" s="12"/>
      <c r="M97" s="12"/>
      <c r="N97" s="12"/>
      <c r="O97" s="12"/>
      <c r="P97" s="12"/>
      <c r="Q97" s="12"/>
      <c r="R97" s="12"/>
      <c r="S97" s="12"/>
      <c r="T97" s="12"/>
      <c r="U97" s="12"/>
      <c r="V97" s="12"/>
      <c r="W97" s="12"/>
      <c r="X97" s="12"/>
      <c r="Y97" s="12"/>
      <c r="Z97" s="12"/>
      <c r="AA97" s="12"/>
    </row>
    <row r="98" spans="10:27">
      <c r="J98" s="12"/>
      <c r="S98" s="12"/>
      <c r="T98" s="12"/>
      <c r="U98" s="12"/>
      <c r="V98" s="12"/>
      <c r="W98" s="12"/>
      <c r="X98" s="12"/>
      <c r="Y98" s="12"/>
      <c r="Z98" s="12"/>
      <c r="AA98" s="12"/>
    </row>
    <row r="99" spans="10:27">
      <c r="S99" s="12"/>
      <c r="T99" s="12"/>
      <c r="U99" s="12"/>
      <c r="V99" s="12"/>
      <c r="W99" s="12"/>
      <c r="X99" s="12"/>
      <c r="Y99" s="12"/>
      <c r="Z99" s="12"/>
    </row>
    <row r="119" spans="5:26">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5:26">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5:26">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5:26">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5:26">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5:26">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5:26">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5:26">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5:26">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5:26">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5:26">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5:26">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5:26">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5:26">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5:26">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5:26">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5:26">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5:26">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5:26">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5:26">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5:26">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5:26">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5:26">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5:26">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5:26">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5:26">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5:26">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5:26">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5:26">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5:26">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5:26">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5:26">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5:26">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5:26">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5:26">
      <c r="E153" s="12"/>
      <c r="F153" s="12"/>
      <c r="G153" s="12"/>
      <c r="H153" s="12"/>
      <c r="I153" s="12"/>
      <c r="J153" s="12"/>
      <c r="K153" s="12"/>
      <c r="L153" s="12"/>
      <c r="M153" s="12"/>
      <c r="N153" s="12"/>
      <c r="O153" s="12"/>
      <c r="P153" s="12"/>
      <c r="Q153" s="12"/>
      <c r="R153" s="12"/>
      <c r="S153" s="12"/>
      <c r="T153" s="12"/>
      <c r="U153" s="12"/>
      <c r="V153" s="12"/>
      <c r="W153" s="12"/>
      <c r="X153" s="12"/>
      <c r="Y153" s="12"/>
      <c r="Z153" s="12"/>
    </row>
  </sheetData>
  <mergeCells count="24">
    <mergeCell ref="AD5:AD7"/>
    <mergeCell ref="AE5:AE7"/>
    <mergeCell ref="AF5:AF7"/>
    <mergeCell ref="AG5:AG7"/>
    <mergeCell ref="AH5:AH7"/>
    <mergeCell ref="AJ11:AJ13"/>
    <mergeCell ref="AJ8:AJ10"/>
    <mergeCell ref="AE4:AF4"/>
    <mergeCell ref="AG4:AH4"/>
    <mergeCell ref="AI4:AJ4"/>
    <mergeCell ref="AI5:AI7"/>
    <mergeCell ref="AJ5:AJ7"/>
    <mergeCell ref="AI11:AI13"/>
    <mergeCell ref="AI8:AI10"/>
    <mergeCell ref="AD8:AD9"/>
    <mergeCell ref="AE8:AE10"/>
    <mergeCell ref="AF8:AF10"/>
    <mergeCell ref="AG8:AG10"/>
    <mergeCell ref="AH8:AH10"/>
    <mergeCell ref="AD11:AD12"/>
    <mergeCell ref="AE11:AE13"/>
    <mergeCell ref="AF11:AF13"/>
    <mergeCell ref="AG11:AG13"/>
    <mergeCell ref="AH11:AH13"/>
  </mergeCells>
  <phoneticPr fontId="1"/>
  <pageMargins left="0.7" right="0.7" top="0.75" bottom="0.75" header="0.3" footer="0.3"/>
  <pageSetup paperSize="9" orientation="portrait" verticalDpi="0" r:id="rId1"/>
  <ignoredErrors>
    <ignoredError sqref="AE5:AI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試算表</vt:lpstr>
      <vt:lpstr>編集用データ倉庫</vt:lpstr>
      <vt:lpstr>Sheet1</vt:lpstr>
      <vt:lpstr>試算表!Print_Area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FCCUSER</dc:creator>
  <cp:lastModifiedBy>国保年金課 資格係10 TC12XH</cp:lastModifiedBy>
  <cp:lastPrinted>2025-02-18T05:46:11Z</cp:lastPrinted>
  <dcterms:created xsi:type="dcterms:W3CDTF">2012-11-16T01:46:33Z</dcterms:created>
  <dcterms:modified xsi:type="dcterms:W3CDTF">2025-03-14T07:14:52Z</dcterms:modified>
</cp:coreProperties>
</file>